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F:\common_use\Budgets&amp;Actuals\2020-21 Fiscal Year\SIP Templates\ARCHIVE\"/>
    </mc:Choice>
  </mc:AlternateContent>
  <bookViews>
    <workbookView xWindow="0" yWindow="0" windowWidth="20490" windowHeight="9885"/>
  </bookViews>
  <sheets>
    <sheet name="Budget Request" sheetId="10" r:id="rId1"/>
    <sheet name="Import Sheet" sheetId="12" state="hidden" r:id="rId2"/>
    <sheet name="Milestones" sheetId="9" r:id="rId3"/>
    <sheet name="NPV, PP, ROI Analysis" sheetId="11" r:id="rId4"/>
    <sheet name="Hidden List Sheet" sheetId="3" state="hidden" r:id="rId5"/>
  </sheets>
  <calcPr calcId="162913"/>
  <pivotCaches>
    <pivotCache cacheId="0" r:id="rId6"/>
    <pivotCache cacheId="1" r:id="rId7"/>
  </pivotCache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1" l="1"/>
  <c r="O21" i="11"/>
  <c r="O14" i="11"/>
  <c r="P14" i="11"/>
  <c r="Q14" i="11"/>
  <c r="R14" i="11"/>
  <c r="C52" i="11"/>
  <c r="C50" i="11"/>
  <c r="C48" i="11"/>
  <c r="C46" i="11"/>
  <c r="C44" i="11"/>
  <c r="C42" i="11"/>
  <c r="C40" i="11"/>
  <c r="C38" i="11"/>
  <c r="C36" i="11"/>
  <c r="C34" i="11"/>
  <c r="C32" i="11"/>
  <c r="C30" i="11"/>
  <c r="C28" i="11"/>
  <c r="C26" i="11"/>
  <c r="C22" i="11"/>
  <c r="C24" i="11"/>
  <c r="S11" i="11"/>
  <c r="S12" i="11"/>
  <c r="C12" i="10"/>
  <c r="C8" i="9" s="1"/>
  <c r="D8" i="9" s="1"/>
  <c r="O23" i="10"/>
  <c r="O24" i="10"/>
  <c r="O25" i="10"/>
  <c r="P23" i="10"/>
  <c r="P24" i="10"/>
  <c r="P25" i="10"/>
  <c r="F19" i="11"/>
  <c r="G19" i="11"/>
  <c r="H19" i="11"/>
  <c r="I19" i="11"/>
  <c r="J19" i="11"/>
  <c r="K19" i="11"/>
  <c r="L19" i="11"/>
  <c r="M19" i="11"/>
  <c r="N19" i="11"/>
  <c r="O19" i="11"/>
  <c r="P19" i="11" s="1"/>
  <c r="Q19" i="11" s="1"/>
  <c r="R19" i="11" s="1"/>
  <c r="O28" i="10"/>
  <c r="P28" i="10"/>
  <c r="E12" i="10"/>
  <c r="E19" i="11" s="1"/>
  <c r="D12" i="10"/>
  <c r="AA21" i="9"/>
  <c r="AC21" i="9" s="1"/>
  <c r="AB21" i="9"/>
  <c r="AD21" i="9" s="1"/>
  <c r="F20" i="11"/>
  <c r="G20" i="11" s="1"/>
  <c r="B40" i="11" s="1"/>
  <c r="I40" i="11" s="1"/>
  <c r="S10" i="11"/>
  <c r="P16" i="10"/>
  <c r="P17" i="10"/>
  <c r="P18" i="10"/>
  <c r="P19" i="10"/>
  <c r="P20" i="10"/>
  <c r="P21" i="10"/>
  <c r="P22" i="10"/>
  <c r="P26" i="10"/>
  <c r="P27" i="10"/>
  <c r="Q7" i="10"/>
  <c r="Q28" i="10" s="1"/>
  <c r="AB18" i="9"/>
  <c r="AD18" i="9" s="1"/>
  <c r="AA18" i="9"/>
  <c r="AC18" i="9" s="1"/>
  <c r="Q24" i="10"/>
  <c r="Q23" i="10"/>
  <c r="G8" i="10"/>
  <c r="K14" i="10" s="1"/>
  <c r="Q16" i="10"/>
  <c r="Q27" i="10"/>
  <c r="Q22" i="10"/>
  <c r="Q19" i="10"/>
  <c r="O8" i="11"/>
  <c r="O26" i="10"/>
  <c r="O17" i="10"/>
  <c r="O16" i="10"/>
  <c r="O18" i="10"/>
  <c r="O19" i="10"/>
  <c r="O20" i="10"/>
  <c r="O21" i="10"/>
  <c r="O22" i="10"/>
  <c r="O27" i="10"/>
  <c r="N29" i="10"/>
  <c r="M29" i="10"/>
  <c r="L29" i="10"/>
  <c r="K29" i="10"/>
  <c r="G9" i="10" s="1"/>
  <c r="J29" i="10"/>
  <c r="I29" i="10"/>
  <c r="H29" i="10"/>
  <c r="G29" i="10"/>
  <c r="C29" i="11" s="1"/>
  <c r="F29" i="10"/>
  <c r="F13" i="11" s="1"/>
  <c r="E29" i="10"/>
  <c r="D29" i="10"/>
  <c r="C29" i="10"/>
  <c r="C21" i="11" s="1"/>
  <c r="C43" i="11"/>
  <c r="N13" i="11"/>
  <c r="N14" i="11"/>
  <c r="C41" i="11"/>
  <c r="M13" i="11"/>
  <c r="M14" i="11"/>
  <c r="L13" i="11"/>
  <c r="L14" i="11"/>
  <c r="C39" i="11"/>
  <c r="K13" i="11"/>
  <c r="K14" i="11" s="1"/>
  <c r="C35" i="11"/>
  <c r="J13" i="11"/>
  <c r="J14" i="11"/>
  <c r="C33" i="11"/>
  <c r="I13" i="11"/>
  <c r="I14" i="11"/>
  <c r="C25" i="11"/>
  <c r="E13" i="11"/>
  <c r="E14" i="11" s="1"/>
  <c r="H13" i="11"/>
  <c r="H14" i="11" s="1"/>
  <c r="C31" i="11"/>
  <c r="F14" i="11"/>
  <c r="C27" i="11"/>
  <c r="D13" i="11"/>
  <c r="D14" i="11"/>
  <c r="C23" i="11"/>
  <c r="AA22" i="9"/>
  <c r="AC22" i="9" s="1"/>
  <c r="AB17" i="9"/>
  <c r="AD17" i="9" s="1"/>
  <c r="AA20" i="9"/>
  <c r="AC20" i="9" s="1"/>
  <c r="AA12" i="9"/>
  <c r="AC12" i="9" s="1"/>
  <c r="AA15" i="9"/>
  <c r="AC15" i="9" s="1"/>
  <c r="AB20" i="9"/>
  <c r="AD20" i="9" s="1"/>
  <c r="AA13" i="9"/>
  <c r="AA14" i="9"/>
  <c r="AC14" i="9" s="1"/>
  <c r="AA19" i="9"/>
  <c r="AC19" i="9" s="1"/>
  <c r="AA16" i="9"/>
  <c r="AC16" i="9" s="1"/>
  <c r="AB16" i="9"/>
  <c r="AB13" i="9"/>
  <c r="AD13" i="9" s="1"/>
  <c r="AB19" i="9"/>
  <c r="AD19" i="9" s="1"/>
  <c r="AA17" i="9"/>
  <c r="AC17" i="9" s="1"/>
  <c r="AB15" i="9"/>
  <c r="AB12" i="9"/>
  <c r="AD12" i="9" s="1"/>
  <c r="AB22" i="9"/>
  <c r="AB14" i="9"/>
  <c r="AD14" i="9" s="1"/>
  <c r="AC13" i="9"/>
  <c r="AD16" i="9"/>
  <c r="AD22" i="9"/>
  <c r="AD15" i="9"/>
  <c r="D21" i="11"/>
  <c r="D22" i="11"/>
  <c r="D23" i="11" s="1"/>
  <c r="D24" i="11" s="1"/>
  <c r="D25" i="11" s="1"/>
  <c r="D26" i="11" s="1"/>
  <c r="D27" i="11" s="1"/>
  <c r="D28" i="11" s="1"/>
  <c r="D29" i="11" s="1"/>
  <c r="D30" i="11" s="1"/>
  <c r="D31" i="11" s="1"/>
  <c r="D32" i="11" s="1"/>
  <c r="D33" i="11" s="1"/>
  <c r="D34" i="11" s="1"/>
  <c r="D35" i="11" s="1"/>
  <c r="D36" i="11" s="1"/>
  <c r="K8" i="11" l="1"/>
  <c r="Q21" i="10"/>
  <c r="C8" i="10"/>
  <c r="C14" i="10" s="1"/>
  <c r="B50" i="11"/>
  <c r="I50" i="11" s="1"/>
  <c r="B27" i="11"/>
  <c r="I27" i="11" s="1"/>
  <c r="B39" i="11"/>
  <c r="I39" i="11" s="1"/>
  <c r="B29" i="11"/>
  <c r="I29" i="11" s="1"/>
  <c r="B25" i="11"/>
  <c r="I25" i="11" s="1"/>
  <c r="B41" i="11"/>
  <c r="I41" i="11" s="1"/>
  <c r="B43" i="11"/>
  <c r="I43" i="11" s="1"/>
  <c r="B22" i="11"/>
  <c r="I22" i="11" s="1"/>
  <c r="S10" i="9"/>
  <c r="B36" i="11"/>
  <c r="I36" i="11" s="1"/>
  <c r="B42" i="11"/>
  <c r="I42" i="11" s="1"/>
  <c r="B31" i="11"/>
  <c r="I31" i="11" s="1"/>
  <c r="Q26" i="10"/>
  <c r="Q17" i="10"/>
  <c r="Q25" i="10"/>
  <c r="C19" i="11"/>
  <c r="B53" i="11"/>
  <c r="I53" i="11" s="1"/>
  <c r="B21" i="11"/>
  <c r="B26" i="11"/>
  <c r="I26" i="11" s="1"/>
  <c r="B34" i="11"/>
  <c r="I34" i="11" s="1"/>
  <c r="B30" i="11"/>
  <c r="I30" i="11" s="1"/>
  <c r="C13" i="11"/>
  <c r="C37" i="11"/>
  <c r="D37" i="11" s="1"/>
  <c r="D38" i="11" s="1"/>
  <c r="D39" i="11" s="1"/>
  <c r="D40" i="11" s="1"/>
  <c r="D41" i="11" s="1"/>
  <c r="D42" i="11" s="1"/>
  <c r="D43" i="11" s="1"/>
  <c r="D44" i="11" s="1"/>
  <c r="D45" i="11" s="1"/>
  <c r="D46" i="11" s="1"/>
  <c r="D47" i="11" s="1"/>
  <c r="D48" i="11" s="1"/>
  <c r="D49" i="11" s="1"/>
  <c r="D50" i="11" s="1"/>
  <c r="D51" i="11" s="1"/>
  <c r="D52" i="11" s="1"/>
  <c r="C9" i="10"/>
  <c r="O29" i="10"/>
  <c r="B32" i="11"/>
  <c r="I32" i="11" s="1"/>
  <c r="B37" i="11"/>
  <c r="I37" i="11" s="1"/>
  <c r="B24" i="11"/>
  <c r="I24" i="11" s="1"/>
  <c r="E9" i="10"/>
  <c r="G13" i="11"/>
  <c r="G14" i="11" s="1"/>
  <c r="B28" i="11"/>
  <c r="I28" i="11" s="1"/>
  <c r="B23" i="11"/>
  <c r="I23" i="11" s="1"/>
  <c r="B33" i="11"/>
  <c r="I33" i="11" s="1"/>
  <c r="B44" i="11"/>
  <c r="I44" i="11" s="1"/>
  <c r="B47" i="11"/>
  <c r="I47" i="11" s="1"/>
  <c r="B45" i="11"/>
  <c r="I45" i="11" s="1"/>
  <c r="B46" i="11"/>
  <c r="I46" i="11" s="1"/>
  <c r="B38" i="11"/>
  <c r="I38" i="11" s="1"/>
  <c r="B35" i="11"/>
  <c r="I35" i="11" s="1"/>
  <c r="B51" i="11"/>
  <c r="I51" i="11" s="1"/>
  <c r="B52" i="11"/>
  <c r="I52" i="11" s="1"/>
  <c r="B48" i="11"/>
  <c r="I48" i="11" s="1"/>
  <c r="B49" i="11"/>
  <c r="I49" i="11" s="1"/>
  <c r="D19" i="11"/>
  <c r="E8" i="9"/>
  <c r="F8" i="9" s="1"/>
  <c r="E8" i="10"/>
  <c r="Q18" i="10"/>
  <c r="Q20" i="10"/>
  <c r="G8" i="9"/>
  <c r="H8" i="9" s="1"/>
  <c r="C8" i="11" l="1"/>
  <c r="C10" i="9"/>
  <c r="I9" i="10"/>
  <c r="K20" i="11"/>
  <c r="H20" i="11"/>
  <c r="C14" i="11"/>
  <c r="S14" i="11" s="1"/>
  <c r="S13" i="11"/>
  <c r="G8" i="11"/>
  <c r="K10" i="9"/>
  <c r="G14" i="10"/>
  <c r="J20" i="11" l="1"/>
  <c r="I20" i="11"/>
  <c r="E38" i="11"/>
  <c r="F38" i="11" s="1"/>
  <c r="H38" i="11" s="1"/>
  <c r="E23" i="11"/>
  <c r="E27" i="11"/>
  <c r="E41" i="11"/>
  <c r="E22" i="11"/>
  <c r="F22" i="11" s="1"/>
  <c r="H22" i="11" s="1"/>
  <c r="E43" i="11"/>
  <c r="E45" i="11"/>
  <c r="E47" i="11"/>
  <c r="E21" i="11"/>
  <c r="E40" i="11"/>
  <c r="F40" i="11" s="1"/>
  <c r="H40" i="11" s="1"/>
  <c r="E32" i="11"/>
  <c r="F32" i="11" s="1"/>
  <c r="H32" i="11" s="1"/>
  <c r="E26" i="11"/>
  <c r="F26" i="11" s="1"/>
  <c r="H26" i="11" s="1"/>
  <c r="E34" i="11"/>
  <c r="F34" i="11" s="1"/>
  <c r="H34" i="11" s="1"/>
  <c r="E44" i="11"/>
  <c r="F44" i="11" s="1"/>
  <c r="H44" i="11" s="1"/>
  <c r="E28" i="11"/>
  <c r="F28" i="11" s="1"/>
  <c r="H28" i="11" s="1"/>
  <c r="E30" i="11"/>
  <c r="F30" i="11" s="1"/>
  <c r="H30" i="11" s="1"/>
  <c r="E25" i="11"/>
  <c r="E29" i="11"/>
  <c r="E33" i="11"/>
  <c r="E35" i="11"/>
  <c r="E42" i="11"/>
  <c r="F42" i="11" s="1"/>
  <c r="H42" i="11" s="1"/>
  <c r="E31" i="11"/>
  <c r="E49" i="11"/>
  <c r="E50" i="11"/>
  <c r="F50" i="11" s="1"/>
  <c r="H50" i="11" s="1"/>
  <c r="E52" i="11"/>
  <c r="E39" i="11"/>
  <c r="E36" i="11"/>
  <c r="F36" i="11" s="1"/>
  <c r="H36" i="11" s="1"/>
  <c r="E37" i="11"/>
  <c r="E51" i="11"/>
  <c r="E48" i="11"/>
  <c r="F48" i="11" s="1"/>
  <c r="H48" i="11" s="1"/>
  <c r="E46" i="11"/>
  <c r="F46" i="11" s="1"/>
  <c r="H46" i="11" s="1"/>
  <c r="E24" i="11"/>
  <c r="F24" i="11" s="1"/>
  <c r="H24" i="11" s="1"/>
  <c r="F43" i="11" l="1"/>
  <c r="G43" i="11" s="1"/>
  <c r="L43" i="11"/>
  <c r="L23" i="11"/>
  <c r="F23" i="11"/>
  <c r="G23" i="11" s="1"/>
  <c r="L39" i="11"/>
  <c r="F39" i="11"/>
  <c r="G39" i="11" s="1"/>
  <c r="E53" i="11"/>
  <c r="F52" i="11"/>
  <c r="H52" i="11" s="1"/>
  <c r="H53" i="11" s="1"/>
  <c r="L25" i="11"/>
  <c r="F25" i="11"/>
  <c r="G25" i="11" s="1"/>
  <c r="L21" i="11"/>
  <c r="F21" i="11"/>
  <c r="F37" i="11"/>
  <c r="G37" i="11" s="1"/>
  <c r="L37" i="11"/>
  <c r="F35" i="11"/>
  <c r="G35" i="11" s="1"/>
  <c r="L35" i="11"/>
  <c r="F47" i="11"/>
  <c r="G47" i="11" s="1"/>
  <c r="L47" i="11"/>
  <c r="F41" i="11"/>
  <c r="G41" i="11" s="1"/>
  <c r="L41" i="11"/>
  <c r="L31" i="11"/>
  <c r="F31" i="11"/>
  <c r="G31" i="11" s="1"/>
  <c r="L29" i="11"/>
  <c r="F29" i="11"/>
  <c r="G29" i="11" s="1"/>
  <c r="F51" i="11"/>
  <c r="G51" i="11" s="1"/>
  <c r="L51" i="11"/>
  <c r="L49" i="11"/>
  <c r="F49" i="11"/>
  <c r="G49" i="11" s="1"/>
  <c r="L33" i="11"/>
  <c r="F33" i="11"/>
  <c r="G33" i="11" s="1"/>
  <c r="L45" i="11"/>
  <c r="F45" i="11"/>
  <c r="G45" i="11" s="1"/>
  <c r="L27" i="11"/>
  <c r="F27" i="11"/>
  <c r="G27" i="11" s="1"/>
  <c r="F53" i="11" l="1"/>
  <c r="G21" i="11"/>
  <c r="G53" i="11" s="1"/>
  <c r="L53" i="11"/>
  <c r="K22" i="11" l="1"/>
  <c r="C55" i="11"/>
  <c r="C57" i="11"/>
  <c r="C59" i="11"/>
  <c r="K23" i="11" l="1"/>
  <c r="K24" i="11" s="1"/>
  <c r="M22" i="11"/>
  <c r="L22" i="11" s="1"/>
  <c r="K25" i="11" l="1"/>
  <c r="M24" i="11"/>
  <c r="L24" i="11" s="1"/>
  <c r="K26" i="11" l="1"/>
  <c r="K27" i="11" l="1"/>
  <c r="M26" i="11"/>
  <c r="L26" i="11" s="1"/>
  <c r="K28" i="11" l="1"/>
  <c r="M28" i="11" l="1"/>
  <c r="L28" i="11" s="1"/>
  <c r="K29" i="11"/>
  <c r="K30" i="11" l="1"/>
  <c r="K31" i="11" l="1"/>
  <c r="M30" i="11"/>
  <c r="L30" i="11" s="1"/>
  <c r="K32" i="11" l="1"/>
  <c r="K33" i="11" l="1"/>
  <c r="K34" i="11" s="1"/>
  <c r="M32" i="11"/>
  <c r="L32" i="11" s="1"/>
  <c r="K35" i="11" l="1"/>
  <c r="K36" i="11" s="1"/>
  <c r="M34" i="11"/>
  <c r="L34" i="11" s="1"/>
  <c r="M36" i="11" l="1"/>
  <c r="L36" i="11" s="1"/>
  <c r="K37" i="11"/>
  <c r="K38" i="11" s="1"/>
  <c r="K39" i="11" l="1"/>
  <c r="K40" i="11" s="1"/>
  <c r="M38" i="11"/>
  <c r="L38" i="11" s="1"/>
  <c r="M40" i="11" l="1"/>
  <c r="L40" i="11" s="1"/>
  <c r="K41" i="11"/>
  <c r="K42" i="11" s="1"/>
  <c r="K43" i="11" l="1"/>
  <c r="K44" i="11" s="1"/>
  <c r="M42" i="11"/>
  <c r="L42" i="11" s="1"/>
  <c r="M44" i="11" l="1"/>
  <c r="L44" i="11" s="1"/>
  <c r="K45" i="11"/>
  <c r="K46" i="11" s="1"/>
  <c r="K47" i="11" l="1"/>
  <c r="K48" i="11" s="1"/>
  <c r="M46" i="11"/>
  <c r="L46" i="11" s="1"/>
  <c r="K49" i="11" l="1"/>
  <c r="K50" i="11" s="1"/>
  <c r="M48" i="11"/>
  <c r="L48" i="11" s="1"/>
  <c r="K51" i="11" l="1"/>
  <c r="K52" i="11" s="1"/>
  <c r="M50" i="11"/>
  <c r="L50" i="11" s="1"/>
  <c r="M52" i="11" l="1"/>
  <c r="L52" i="11" s="1"/>
  <c r="K53" i="11"/>
  <c r="J21" i="11" s="1"/>
  <c r="J22" i="11" s="1"/>
  <c r="J23" i="11" s="1"/>
  <c r="J24" i="11" s="1"/>
  <c r="J25" i="11" s="1"/>
  <c r="J26" i="11" s="1"/>
  <c r="J27" i="11" s="1"/>
  <c r="J28" i="11" s="1"/>
  <c r="J29" i="11" s="1"/>
  <c r="J30" i="11" s="1"/>
  <c r="J31" i="11" s="1"/>
  <c r="J32" i="11" s="1"/>
  <c r="J33" i="11" s="1"/>
  <c r="J34" i="11" s="1"/>
  <c r="J35" i="11" s="1"/>
  <c r="J36" i="11" s="1"/>
  <c r="J37" i="11" s="1"/>
  <c r="J38" i="11" s="1"/>
  <c r="J39" i="11" s="1"/>
  <c r="J40" i="11" s="1"/>
  <c r="J41" i="11" s="1"/>
  <c r="J42" i="11" s="1"/>
  <c r="J43" i="11" s="1"/>
  <c r="J44" i="11" s="1"/>
  <c r="J45" i="11" s="1"/>
  <c r="J46" i="11" s="1"/>
  <c r="J47" i="11" s="1"/>
  <c r="J48" i="11" s="1"/>
  <c r="J49" i="11" s="1"/>
  <c r="J50" i="11" s="1"/>
  <c r="J51" i="11" s="1"/>
  <c r="J52" i="11" s="1"/>
  <c r="J53" i="11" s="1"/>
</calcChain>
</file>

<file path=xl/sharedStrings.xml><?xml version="1.0" encoding="utf-8"?>
<sst xmlns="http://schemas.openxmlformats.org/spreadsheetml/2006/main" count="131" uniqueCount="118">
  <si>
    <t>Major Milestones or Deliverables</t>
  </si>
  <si>
    <t>Algonquin College Executive Team Reporting Schedule</t>
  </si>
  <si>
    <t>X</t>
  </si>
  <si>
    <t>Lists</t>
  </si>
  <si>
    <t>Project Total</t>
  </si>
  <si>
    <t>Training/Development</t>
  </si>
  <si>
    <t>Total</t>
  </si>
  <si>
    <r>
      <rPr>
        <i/>
        <sz val="9"/>
        <color theme="9" tint="0.59999389629810485"/>
        <rFont val="Arial"/>
        <family val="2"/>
      </rPr>
      <t>Y1Q1</t>
    </r>
    <r>
      <rPr>
        <i/>
        <sz val="9"/>
        <rFont val="Arial"/>
        <family val="2"/>
      </rPr>
      <t xml:space="preserve">
Achieved</t>
    </r>
  </si>
  <si>
    <r>
      <rPr>
        <i/>
        <sz val="9"/>
        <color theme="9" tint="0.59999389629810485"/>
        <rFont val="Arial"/>
        <family val="2"/>
      </rPr>
      <t>Y1Q2</t>
    </r>
    <r>
      <rPr>
        <i/>
        <sz val="9"/>
        <rFont val="Arial"/>
        <family val="2"/>
      </rPr>
      <t xml:space="preserve">
Achieved</t>
    </r>
  </si>
  <si>
    <r>
      <rPr>
        <i/>
        <sz val="9"/>
        <color theme="9" tint="0.59999389629810485"/>
        <rFont val="Arial"/>
        <family val="2"/>
      </rPr>
      <t>Y1Q3</t>
    </r>
    <r>
      <rPr>
        <i/>
        <sz val="9"/>
        <rFont val="Arial"/>
        <family val="2"/>
      </rPr>
      <t xml:space="preserve">
Achieved</t>
    </r>
  </si>
  <si>
    <r>
      <rPr>
        <i/>
        <sz val="9"/>
        <color theme="9" tint="0.59999389629810485"/>
        <rFont val="Arial"/>
        <family val="2"/>
      </rPr>
      <t>Y1Q4</t>
    </r>
    <r>
      <rPr>
        <i/>
        <sz val="9"/>
        <rFont val="Arial"/>
        <family val="2"/>
      </rPr>
      <t xml:space="preserve">
Achieved</t>
    </r>
  </si>
  <si>
    <r>
      <rPr>
        <i/>
        <sz val="9"/>
        <color theme="9" tint="0.59999389629810485"/>
        <rFont val="Arial"/>
        <family val="2"/>
      </rPr>
      <t>Y2Q1</t>
    </r>
    <r>
      <rPr>
        <i/>
        <sz val="9"/>
        <rFont val="Arial"/>
        <family val="2"/>
      </rPr>
      <t xml:space="preserve">
Achieved</t>
    </r>
  </si>
  <si>
    <r>
      <rPr>
        <i/>
        <sz val="9"/>
        <color theme="9" tint="0.59999389629810485"/>
        <rFont val="Arial"/>
        <family val="2"/>
      </rPr>
      <t>Y2Q2</t>
    </r>
    <r>
      <rPr>
        <i/>
        <sz val="9"/>
        <rFont val="Arial"/>
        <family val="2"/>
      </rPr>
      <t xml:space="preserve">
Achieved</t>
    </r>
  </si>
  <si>
    <r>
      <rPr>
        <i/>
        <sz val="9"/>
        <color theme="9" tint="0.59999389629810485"/>
        <rFont val="Arial"/>
        <family val="2"/>
      </rPr>
      <t>Y2Q3</t>
    </r>
    <r>
      <rPr>
        <i/>
        <sz val="9"/>
        <rFont val="Arial"/>
        <family val="2"/>
      </rPr>
      <t xml:space="preserve">
Achieved</t>
    </r>
  </si>
  <si>
    <r>
      <rPr>
        <i/>
        <sz val="9"/>
        <color theme="9" tint="0.59999389629810485"/>
        <rFont val="Arial"/>
        <family val="2"/>
      </rPr>
      <t>Y2Q4</t>
    </r>
    <r>
      <rPr>
        <i/>
        <sz val="9"/>
        <rFont val="Arial"/>
        <family val="2"/>
      </rPr>
      <t xml:space="preserve">
Achieved</t>
    </r>
  </si>
  <si>
    <r>
      <rPr>
        <i/>
        <sz val="9"/>
        <color theme="9" tint="0.59999389629810485"/>
        <rFont val="Arial"/>
        <family val="2"/>
      </rPr>
      <t>Y3Q1</t>
    </r>
    <r>
      <rPr>
        <i/>
        <sz val="9"/>
        <rFont val="Arial"/>
        <family val="2"/>
      </rPr>
      <t xml:space="preserve">
Achieved</t>
    </r>
  </si>
  <si>
    <r>
      <rPr>
        <i/>
        <sz val="9"/>
        <color theme="9" tint="0.59999389629810485"/>
        <rFont val="Arial"/>
        <family val="2"/>
      </rPr>
      <t>Y3Q2</t>
    </r>
    <r>
      <rPr>
        <i/>
        <sz val="9"/>
        <rFont val="Arial"/>
        <family val="2"/>
      </rPr>
      <t xml:space="preserve">
Achieved</t>
    </r>
  </si>
  <si>
    <r>
      <rPr>
        <i/>
        <sz val="9"/>
        <color theme="9" tint="0.59999389629810485"/>
        <rFont val="Arial"/>
        <family val="2"/>
      </rPr>
      <t>Y3Q3</t>
    </r>
    <r>
      <rPr>
        <i/>
        <sz val="9"/>
        <rFont val="Arial"/>
        <family val="2"/>
      </rPr>
      <t xml:space="preserve">
Achieved</t>
    </r>
  </si>
  <si>
    <r>
      <rPr>
        <i/>
        <sz val="9"/>
        <color theme="9" tint="0.59999389629810485"/>
        <rFont val="Arial"/>
        <family val="2"/>
      </rPr>
      <t>Y3Q4</t>
    </r>
    <r>
      <rPr>
        <i/>
        <sz val="9"/>
        <rFont val="Arial"/>
        <family val="2"/>
      </rPr>
      <t xml:space="preserve">
Achieved</t>
    </r>
  </si>
  <si>
    <t>Insert rows as needed.</t>
  </si>
  <si>
    <t>Milestone 1</t>
  </si>
  <si>
    <t>Milestone 2</t>
  </si>
  <si>
    <t>Milestone 3</t>
  </si>
  <si>
    <t>Milestone 4</t>
  </si>
  <si>
    <t>Year and Period of Milestone</t>
  </si>
  <si>
    <t>Year and Period achieved</t>
  </si>
  <si>
    <t>A</t>
  </si>
  <si>
    <t>Salaries and Wages</t>
  </si>
  <si>
    <t>Materials/Equipment</t>
  </si>
  <si>
    <t>Office Space/Facilities</t>
  </si>
  <si>
    <t>Consultants</t>
  </si>
  <si>
    <r>
      <t xml:space="preserve">Benefits </t>
    </r>
    <r>
      <rPr>
        <i/>
        <sz val="8"/>
        <color theme="1"/>
        <rFont val="Arial"/>
        <family val="2"/>
      </rPr>
      <t>(25% of S&amp;W)</t>
    </r>
  </si>
  <si>
    <r>
      <t>Other:</t>
    </r>
    <r>
      <rPr>
        <i/>
        <sz val="11"/>
        <color theme="1"/>
        <rFont val="Arial"/>
        <family val="2"/>
      </rPr>
      <t xml:space="preserve"> </t>
    </r>
  </si>
  <si>
    <t>Incremental / New Revenue</t>
  </si>
  <si>
    <t>Assumptions</t>
  </si>
  <si>
    <t>Revenues</t>
  </si>
  <si>
    <t>Cash Flows</t>
  </si>
  <si>
    <t>Date</t>
  </si>
  <si>
    <t>Project Start Date</t>
  </si>
  <si>
    <t>Milestone Import String</t>
  </si>
  <si>
    <t>Achieved Import String</t>
  </si>
  <si>
    <t>Milestones</t>
  </si>
  <si>
    <t>Achieved Milestones</t>
  </si>
  <si>
    <t>Sum of Y1Q2</t>
  </si>
  <si>
    <t>Sum of Y1Q1</t>
  </si>
  <si>
    <t>Expense</t>
  </si>
  <si>
    <t>Sum of Y1Q3</t>
  </si>
  <si>
    <t>Sum of Y1Q4</t>
  </si>
  <si>
    <t>Sum of Y2Q2</t>
  </si>
  <si>
    <t>Sum of Y2Q1</t>
  </si>
  <si>
    <t>Sum of Y2Q3</t>
  </si>
  <si>
    <t>Sum of Y2Q4</t>
  </si>
  <si>
    <t>Sum of Y3Q1</t>
  </si>
  <si>
    <t>Sum of Y3Q2</t>
  </si>
  <si>
    <t>Sum of Y3Q3</t>
  </si>
  <si>
    <t>Sum of Y3Q4</t>
  </si>
  <si>
    <t>Contribution Margin</t>
  </si>
  <si>
    <t>Fiscal Year</t>
  </si>
  <si>
    <t>Project Name:</t>
  </si>
  <si>
    <t>Name****Category</t>
  </si>
  <si>
    <t>Year of Import</t>
  </si>
  <si>
    <t>****Salaries and Wages</t>
  </si>
  <si>
    <t>****Benefits (25% of S&amp;W)</t>
  </si>
  <si>
    <t>****Materials/Equipment</t>
  </si>
  <si>
    <t>****Office Space/Facilities</t>
  </si>
  <si>
    <t>****Training/Development</t>
  </si>
  <si>
    <t>****Consultants</t>
  </si>
  <si>
    <t xml:space="preserve">****Other: </t>
  </si>
  <si>
    <t>Sum of Year of Import</t>
  </si>
  <si>
    <t>Project Start Date:</t>
  </si>
  <si>
    <r>
      <t xml:space="preserve">Briefly describe the major phases or deliverables in the project and when you expect them to start and finish relative to the quarterly reporting requirements for the Board. Insert a mark “X” in the weeks when you expect </t>
    </r>
    <r>
      <rPr>
        <b/>
        <sz val="11"/>
        <color theme="1"/>
        <rFont val="Arial"/>
        <family val="2"/>
      </rPr>
      <t>the task will completed</t>
    </r>
    <r>
      <rPr>
        <sz val="11"/>
        <color theme="1"/>
        <rFont val="Arial"/>
        <family val="2"/>
      </rPr>
      <t>.  The board dashboard will reflect the accomplishments as indicated in this schedule. If the project extends beyond the schedule provided, please append additional schedule information to the Project Charter. At least one (1) milestone or deliverable must be identified.  Limit each row to one milestone and insert new rows as required.</t>
    </r>
  </si>
  <si>
    <r>
      <t xml:space="preserve">Category </t>
    </r>
    <r>
      <rPr>
        <sz val="12"/>
        <rFont val="Arial"/>
        <family val="2"/>
      </rPr>
      <t>(Itemize as necessary)</t>
    </r>
  </si>
  <si>
    <t>Budget Overview</t>
  </si>
  <si>
    <t>PROJECT TOTAL</t>
  </si>
  <si>
    <t>High Level Cost Estimates.  If the project extends beyond the schedule provided, please append additional schedule information to this Excel workbook.</t>
  </si>
  <si>
    <r>
      <t xml:space="preserve">To add additional categories, select the last row (above the </t>
    </r>
    <r>
      <rPr>
        <sz val="12"/>
        <color theme="1"/>
        <rFont val="Arial"/>
        <family val="2"/>
      </rPr>
      <t>Total</t>
    </r>
    <r>
      <rPr>
        <i/>
        <sz val="12"/>
        <color theme="1"/>
        <rFont val="Arial"/>
        <family val="2"/>
      </rPr>
      <t xml:space="preserve"> row) of the table, right-click and select "insert".  Do not insert or delete rows elsewhere on this sheet.</t>
    </r>
  </si>
  <si>
    <t>To add additional milestones, select the last row of the table, right-click and select "insert".  Do not insert or delete rows elsewhere on this sheet.</t>
  </si>
  <si>
    <r>
      <rPr>
        <i/>
        <sz val="9"/>
        <color theme="9" tint="0.39997558519241921"/>
        <rFont val="Arial"/>
        <family val="2"/>
      </rPr>
      <t>Y1</t>
    </r>
    <r>
      <rPr>
        <i/>
        <sz val="9"/>
        <rFont val="Arial"/>
        <family val="2"/>
      </rPr>
      <t>Q1
(Apr – Jun)</t>
    </r>
  </si>
  <si>
    <r>
      <rPr>
        <i/>
        <sz val="9"/>
        <color theme="9" tint="0.39997558519241921"/>
        <rFont val="Arial"/>
        <family val="2"/>
      </rPr>
      <t>Y1</t>
    </r>
    <r>
      <rPr>
        <i/>
        <sz val="9"/>
        <rFont val="Arial"/>
        <family val="2"/>
      </rPr>
      <t>Q2
(Jul – Sep)</t>
    </r>
  </si>
  <si>
    <r>
      <rPr>
        <i/>
        <sz val="9"/>
        <color theme="9" tint="0.39997558519241921"/>
        <rFont val="Arial"/>
        <family val="2"/>
      </rPr>
      <t>Y1</t>
    </r>
    <r>
      <rPr>
        <i/>
        <sz val="9"/>
        <rFont val="Arial"/>
        <family val="2"/>
      </rPr>
      <t>Q3
(Oct – Dec)</t>
    </r>
  </si>
  <si>
    <r>
      <rPr>
        <i/>
        <sz val="9"/>
        <color theme="9" tint="0.39997558519241921"/>
        <rFont val="Arial"/>
        <family val="2"/>
      </rPr>
      <t>Y1</t>
    </r>
    <r>
      <rPr>
        <i/>
        <sz val="9"/>
        <rFont val="Arial"/>
        <family val="2"/>
      </rPr>
      <t xml:space="preserve">Q4
(Jan – Mar) </t>
    </r>
  </si>
  <si>
    <r>
      <rPr>
        <i/>
        <sz val="9"/>
        <color theme="9" tint="0.39997558519241921"/>
        <rFont val="Arial"/>
        <family val="2"/>
      </rPr>
      <t>Y2</t>
    </r>
    <r>
      <rPr>
        <i/>
        <sz val="9"/>
        <rFont val="Arial"/>
        <family val="2"/>
      </rPr>
      <t>Q1
(Apr – Jun)</t>
    </r>
  </si>
  <si>
    <r>
      <rPr>
        <i/>
        <sz val="9"/>
        <color theme="9" tint="0.39997558519241921"/>
        <rFont val="Arial"/>
        <family val="2"/>
      </rPr>
      <t>Y2</t>
    </r>
    <r>
      <rPr>
        <i/>
        <sz val="9"/>
        <rFont val="Arial"/>
        <family val="2"/>
      </rPr>
      <t>Q2
(Jul – Sep)</t>
    </r>
  </si>
  <si>
    <r>
      <rPr>
        <i/>
        <sz val="9"/>
        <color theme="9" tint="0.39997558519241921"/>
        <rFont val="Arial"/>
        <family val="2"/>
      </rPr>
      <t>Y2</t>
    </r>
    <r>
      <rPr>
        <i/>
        <sz val="9"/>
        <rFont val="Arial"/>
        <family val="2"/>
      </rPr>
      <t>Q3
(Oct – Dec)</t>
    </r>
  </si>
  <si>
    <r>
      <rPr>
        <i/>
        <sz val="9"/>
        <color theme="9" tint="0.39997558519241921"/>
        <rFont val="Arial"/>
        <family val="2"/>
      </rPr>
      <t>Y2</t>
    </r>
    <r>
      <rPr>
        <i/>
        <sz val="9"/>
        <rFont val="Arial"/>
        <family val="2"/>
      </rPr>
      <t xml:space="preserve">Q4
(Jan – Mar) </t>
    </r>
  </si>
  <si>
    <r>
      <rPr>
        <i/>
        <sz val="9"/>
        <color theme="9" tint="0.39997558519241921"/>
        <rFont val="Arial"/>
        <family val="2"/>
      </rPr>
      <t>Y3</t>
    </r>
    <r>
      <rPr>
        <i/>
        <sz val="9"/>
        <rFont val="Arial"/>
        <family val="2"/>
      </rPr>
      <t>Q1
(Apr – Jun)</t>
    </r>
  </si>
  <si>
    <r>
      <rPr>
        <i/>
        <sz val="9"/>
        <color theme="9" tint="0.39997558519241921"/>
        <rFont val="Arial"/>
        <family val="2"/>
      </rPr>
      <t>Y3</t>
    </r>
    <r>
      <rPr>
        <i/>
        <sz val="9"/>
        <rFont val="Arial"/>
        <family val="2"/>
      </rPr>
      <t>Q2
(Jul – Sep)</t>
    </r>
  </si>
  <si>
    <r>
      <rPr>
        <i/>
        <sz val="9"/>
        <color theme="9" tint="0.39997558519241921"/>
        <rFont val="Arial"/>
        <family val="2"/>
      </rPr>
      <t>Y3</t>
    </r>
    <r>
      <rPr>
        <i/>
        <sz val="9"/>
        <rFont val="Arial"/>
        <family val="2"/>
      </rPr>
      <t>Q3
(Oct – Dec)</t>
    </r>
  </si>
  <si>
    <r>
      <rPr>
        <i/>
        <sz val="9"/>
        <color theme="9" tint="0.39997558519241921"/>
        <rFont val="Arial"/>
        <family val="2"/>
      </rPr>
      <t>Y3</t>
    </r>
    <r>
      <rPr>
        <i/>
        <sz val="9"/>
        <rFont val="Arial"/>
        <family val="2"/>
      </rPr>
      <t>Q4
(Jan – Mar)</t>
    </r>
  </si>
  <si>
    <t>Net Present Value (NPV)</t>
  </si>
  <si>
    <t>Interest Rate</t>
  </si>
  <si>
    <r>
      <rPr>
        <b/>
        <i/>
        <sz val="9"/>
        <color theme="9" tint="0.39997558519241921"/>
        <rFont val="Arial"/>
        <family val="2"/>
      </rPr>
      <t>Y1</t>
    </r>
    <r>
      <rPr>
        <b/>
        <i/>
        <sz val="9"/>
        <rFont val="Arial"/>
        <family val="2"/>
      </rPr>
      <t>Q1
(Apr – Jun)</t>
    </r>
  </si>
  <si>
    <r>
      <rPr>
        <b/>
        <i/>
        <sz val="9"/>
        <color theme="9" tint="0.39997558519241921"/>
        <rFont val="Arial"/>
        <family val="2"/>
      </rPr>
      <t>Y1</t>
    </r>
    <r>
      <rPr>
        <b/>
        <i/>
        <sz val="9"/>
        <rFont val="Arial"/>
        <family val="2"/>
      </rPr>
      <t>Q2
(Jul – Sep)</t>
    </r>
  </si>
  <si>
    <r>
      <rPr>
        <b/>
        <i/>
        <sz val="9"/>
        <color theme="9" tint="0.39997558519241921"/>
        <rFont val="Arial"/>
        <family val="2"/>
      </rPr>
      <t>Y1</t>
    </r>
    <r>
      <rPr>
        <b/>
        <i/>
        <sz val="9"/>
        <rFont val="Arial"/>
        <family val="2"/>
      </rPr>
      <t>Q3
(Oct – Dec)</t>
    </r>
  </si>
  <si>
    <r>
      <rPr>
        <b/>
        <i/>
        <sz val="9"/>
        <color theme="9" tint="0.39997558519241921"/>
        <rFont val="Arial"/>
        <family val="2"/>
      </rPr>
      <t>Y1</t>
    </r>
    <r>
      <rPr>
        <b/>
        <i/>
        <sz val="9"/>
        <rFont val="Arial"/>
        <family val="2"/>
      </rPr>
      <t xml:space="preserve">Q4
(Jan – Mar) </t>
    </r>
  </si>
  <si>
    <r>
      <rPr>
        <b/>
        <i/>
        <sz val="9"/>
        <color theme="9" tint="0.39997558519241921"/>
        <rFont val="Arial"/>
        <family val="2"/>
      </rPr>
      <t>Y2</t>
    </r>
    <r>
      <rPr>
        <b/>
        <i/>
        <sz val="9"/>
        <rFont val="Arial"/>
        <family val="2"/>
      </rPr>
      <t>Q1
(Apr – Jun)</t>
    </r>
  </si>
  <si>
    <r>
      <rPr>
        <b/>
        <i/>
        <sz val="9"/>
        <color theme="9" tint="0.39997558519241921"/>
        <rFont val="Arial"/>
        <family val="2"/>
      </rPr>
      <t>Y2</t>
    </r>
    <r>
      <rPr>
        <b/>
        <i/>
        <sz val="9"/>
        <rFont val="Arial"/>
        <family val="2"/>
      </rPr>
      <t>Q2
(Jul – Sep)</t>
    </r>
  </si>
  <si>
    <r>
      <rPr>
        <b/>
        <i/>
        <sz val="9"/>
        <color theme="9" tint="0.39997558519241921"/>
        <rFont val="Arial"/>
        <family val="2"/>
      </rPr>
      <t>Y2</t>
    </r>
    <r>
      <rPr>
        <b/>
        <i/>
        <sz val="9"/>
        <rFont val="Arial"/>
        <family val="2"/>
      </rPr>
      <t xml:space="preserve">Q4
(Jan – Mar) </t>
    </r>
  </si>
  <si>
    <r>
      <rPr>
        <b/>
        <i/>
        <sz val="9"/>
        <color theme="9" tint="0.39997558519241921"/>
        <rFont val="Arial"/>
        <family val="2"/>
      </rPr>
      <t>Y2</t>
    </r>
    <r>
      <rPr>
        <b/>
        <i/>
        <sz val="9"/>
        <rFont val="Arial"/>
        <family val="2"/>
      </rPr>
      <t>Q3
(Oct – Dec)</t>
    </r>
  </si>
  <si>
    <r>
      <rPr>
        <b/>
        <i/>
        <sz val="9"/>
        <color theme="9" tint="0.39997558519241921"/>
        <rFont val="Arial"/>
        <family val="2"/>
      </rPr>
      <t>Y3</t>
    </r>
    <r>
      <rPr>
        <b/>
        <i/>
        <sz val="9"/>
        <rFont val="Arial"/>
        <family val="2"/>
      </rPr>
      <t>Q2
(Jul – Sep)</t>
    </r>
  </si>
  <si>
    <r>
      <rPr>
        <b/>
        <i/>
        <sz val="9"/>
        <color theme="9" tint="0.39997558519241921"/>
        <rFont val="Arial"/>
        <family val="2"/>
      </rPr>
      <t>Y3</t>
    </r>
    <r>
      <rPr>
        <b/>
        <i/>
        <sz val="9"/>
        <rFont val="Arial"/>
        <family val="2"/>
      </rPr>
      <t>Q1
(Apr – Jun)</t>
    </r>
  </si>
  <si>
    <r>
      <rPr>
        <b/>
        <i/>
        <sz val="9"/>
        <color theme="9" tint="0.39997558519241921"/>
        <rFont val="Arial"/>
        <family val="2"/>
      </rPr>
      <t>Y3</t>
    </r>
    <r>
      <rPr>
        <b/>
        <i/>
        <sz val="9"/>
        <rFont val="Arial"/>
        <family val="2"/>
      </rPr>
      <t>Q3
(Oct – Dec)</t>
    </r>
  </si>
  <si>
    <r>
      <rPr>
        <b/>
        <i/>
        <sz val="9"/>
        <color theme="9" tint="0.39997558519241921"/>
        <rFont val="Arial"/>
        <family val="2"/>
      </rPr>
      <t>Y3</t>
    </r>
    <r>
      <rPr>
        <b/>
        <i/>
        <sz val="9"/>
        <rFont val="Arial"/>
        <family val="2"/>
      </rPr>
      <t>Q4
(Jan – Mar)</t>
    </r>
  </si>
  <si>
    <r>
      <rPr>
        <b/>
        <i/>
        <sz val="9"/>
        <color theme="9" tint="0.39997558519241921"/>
        <rFont val="Arial"/>
        <family val="2"/>
      </rPr>
      <t>Y4</t>
    </r>
    <r>
      <rPr>
        <b/>
        <i/>
        <sz val="9"/>
        <rFont val="Arial"/>
        <family val="2"/>
      </rPr>
      <t>Q1
(Apr – Jun)</t>
    </r>
  </si>
  <si>
    <r>
      <rPr>
        <b/>
        <i/>
        <sz val="9"/>
        <color theme="9" tint="0.39997558519241921"/>
        <rFont val="Arial"/>
        <family val="2"/>
      </rPr>
      <t>Y4</t>
    </r>
    <r>
      <rPr>
        <b/>
        <i/>
        <sz val="9"/>
        <rFont val="Arial"/>
        <family val="2"/>
      </rPr>
      <t>Q2
(Jul – Sep)</t>
    </r>
  </si>
  <si>
    <r>
      <rPr>
        <b/>
        <i/>
        <sz val="9"/>
        <color theme="9" tint="0.39997558519241921"/>
        <rFont val="Arial"/>
        <family val="2"/>
      </rPr>
      <t>Y4</t>
    </r>
    <r>
      <rPr>
        <b/>
        <i/>
        <sz val="9"/>
        <rFont val="Arial"/>
        <family val="2"/>
      </rPr>
      <t>Q3
(Oct – Dec)</t>
    </r>
  </si>
  <si>
    <r>
      <rPr>
        <b/>
        <i/>
        <sz val="9"/>
        <color theme="9" tint="0.39997558519241921"/>
        <rFont val="Arial"/>
        <family val="2"/>
      </rPr>
      <t>Y4</t>
    </r>
    <r>
      <rPr>
        <b/>
        <i/>
        <sz val="9"/>
        <rFont val="Arial"/>
        <family val="2"/>
      </rPr>
      <t>Q4
(Jan – Mar)</t>
    </r>
  </si>
  <si>
    <t>Financial Assumptions</t>
  </si>
  <si>
    <t>Project Costs</t>
  </si>
  <si>
    <t>Reduction to expenses (Cost Savings)</t>
  </si>
  <si>
    <t>Totals</t>
  </si>
  <si>
    <t>Increase in operational expenses (e.g. license fees)</t>
  </si>
  <si>
    <t>Payback Period (Discounted)</t>
  </si>
  <si>
    <t>Return on Investment (ROI)  (Discounted)</t>
  </si>
  <si>
    <t>ALGONQUIN COLLEGE
PROJECT BUDGET</t>
  </si>
  <si>
    <t>ALGONQUIN COLLEGE
PROJECT BUDGET
MILESTONES</t>
  </si>
  <si>
    <t>ALGONQUIN COLLEGE
PROJECT BUDGET
RETURN ON INVESTMENT ANALYSIS</t>
  </si>
  <si>
    <t xml:space="preserve">Net Present Value (NPV) is calculated by assuming all investment cash outflows occur at the beginning of each period, while any net income (Revenues minus operating expenses) are incurred at the end of each period.
Payback Period makes the same assumptions for discounting cashflows.  However, net income from the period that results in fully paying off the present value of the investment and results in positive future cashflows (net of all operating expenses) is assumed to be received evenly over that period.  
PBP = Previous Number of Years of Deficit + (( Remaining PV of Investment / PV of Net Income of the Quarter )  / 4 )
Example:  If there is $100 that remains to be payed off in the 3rd quarter (in the 1st year), and net income for that period is $150, the payback period would be 0.625 years (the first two quarters, plus another 0.125 years).
Return On Investment (ROI) is calculated by dividing the present value of all net incomes (Revenues minus operating expenses) by the present value of the investment cash outflows.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</si>
</sst>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F800]dddd\,\ mmmm\ dd\,\ yyyy"/>
    <numFmt numFmtId="167" formatCode="d\-mmm\-yyyy"/>
    <numFmt numFmtId="168" formatCode="0.0%"/>
  </numFmts>
  <fonts count="30" x14ac:knownFonts="1">
    <font>
      <sz val="11"/>
      <color theme="1"/>
      <name val="Calibri"/>
      <family val="2"/>
      <scheme val="minor"/>
    </font>
    <font>
      <sz val="11"/>
      <color theme="1"/>
      <name val="Arial"/>
      <family val="2"/>
    </font>
    <font>
      <i/>
      <sz val="11"/>
      <color theme="1"/>
      <name val="Arial"/>
      <family val="2"/>
    </font>
    <font>
      <b/>
      <i/>
      <sz val="12"/>
      <color theme="1"/>
      <name val="Arial"/>
      <family val="2"/>
    </font>
    <font>
      <i/>
      <sz val="9"/>
      <color theme="1"/>
      <name val="Arial"/>
      <family val="2"/>
    </font>
    <font>
      <sz val="9"/>
      <color theme="1"/>
      <name val="Arial"/>
      <family val="2"/>
    </font>
    <font>
      <b/>
      <i/>
      <sz val="12"/>
      <name val="Arial"/>
      <family val="2"/>
    </font>
    <font>
      <i/>
      <sz val="9"/>
      <name val="Arial"/>
      <family val="2"/>
    </font>
    <font>
      <i/>
      <sz val="9"/>
      <color theme="9" tint="0.59999389629810485"/>
      <name val="Arial"/>
      <family val="2"/>
    </font>
    <font>
      <i/>
      <sz val="12"/>
      <color theme="1"/>
      <name val="Arial"/>
      <family val="2"/>
    </font>
    <font>
      <sz val="11"/>
      <color theme="1"/>
      <name val="Calibri"/>
      <family val="2"/>
      <scheme val="minor"/>
    </font>
    <font>
      <b/>
      <i/>
      <sz val="9"/>
      <name val="Arial"/>
      <family val="2"/>
    </font>
    <font>
      <i/>
      <sz val="8"/>
      <color theme="1"/>
      <name val="Arial"/>
      <family val="2"/>
    </font>
    <font>
      <b/>
      <sz val="9"/>
      <name val="Arial"/>
      <family val="2"/>
    </font>
    <font>
      <sz val="12"/>
      <color theme="1"/>
      <name val="Arial"/>
      <family val="2"/>
    </font>
    <font>
      <i/>
      <sz val="9"/>
      <name val="Arial"/>
      <family val="2"/>
    </font>
    <font>
      <sz val="11"/>
      <color theme="1"/>
      <name val="Arial"/>
      <family val="2"/>
    </font>
    <font>
      <b/>
      <i/>
      <sz val="9"/>
      <name val="Arial"/>
      <family val="2"/>
    </font>
    <font>
      <b/>
      <sz val="11"/>
      <color theme="1"/>
      <name val="Arial"/>
      <family val="2"/>
    </font>
    <font>
      <b/>
      <sz val="12"/>
      <name val="Arial"/>
      <family val="2"/>
    </font>
    <font>
      <sz val="12"/>
      <name val="Arial"/>
      <family val="2"/>
    </font>
    <font>
      <b/>
      <sz val="9"/>
      <color theme="1"/>
      <name val="Arial"/>
      <family val="2"/>
    </font>
    <font>
      <b/>
      <sz val="12"/>
      <color theme="1"/>
      <name val="Arial"/>
      <family val="2"/>
    </font>
    <font>
      <b/>
      <sz val="16"/>
      <name val="Arial"/>
      <family val="2"/>
    </font>
    <font>
      <b/>
      <u val="singleAccounting"/>
      <sz val="11"/>
      <color theme="1"/>
      <name val="Arial"/>
      <family val="2"/>
    </font>
    <font>
      <i/>
      <sz val="9"/>
      <color theme="9" tint="0.39997558519241921"/>
      <name val="Arial"/>
      <family val="2"/>
    </font>
    <font>
      <b/>
      <i/>
      <sz val="9"/>
      <color theme="9" tint="0.39997558519241921"/>
      <name val="Arial"/>
      <family val="2"/>
    </font>
    <font>
      <b/>
      <sz val="14"/>
      <color theme="1"/>
      <name val="Calibri"/>
      <family val="2"/>
      <scheme val="minor"/>
    </font>
    <font>
      <sz val="11"/>
      <name val="Calibri"/>
      <family val="2"/>
      <scheme val="minor"/>
    </font>
    <font>
      <i/>
      <sz val="11"/>
      <color theme="1"/>
      <name val="Arial"/>
      <family val="2"/>
    </font>
  </fonts>
  <fills count="9">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9" tint="0.39997558519241921"/>
        <bgColor indexed="64"/>
      </patternFill>
    </fill>
    <fill>
      <patternFill patternType="solid">
        <fgColor rgb="FFEFE7C3"/>
        <bgColor indexed="64"/>
      </patternFill>
    </fill>
  </fills>
  <borders count="3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medium">
        <color rgb="FF000000"/>
      </left>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ck">
        <color indexed="64"/>
      </right>
      <top style="medium">
        <color indexed="64"/>
      </top>
      <bottom style="medium">
        <color indexed="64"/>
      </bottom>
      <diagonal/>
    </border>
    <border>
      <left/>
      <right style="thin">
        <color indexed="64"/>
      </right>
      <top/>
      <bottom style="medium">
        <color indexed="64"/>
      </bottom>
      <diagonal/>
    </border>
  </borders>
  <cellStyleXfs count="4">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cellStyleXfs>
  <cellXfs count="177">
    <xf numFmtId="0" fontId="0" fillId="0" borderId="0" xfId="0"/>
    <xf numFmtId="0" fontId="0" fillId="0" borderId="1" xfId="0" applyBorder="1"/>
    <xf numFmtId="0" fontId="0" fillId="0" borderId="0" xfId="0"/>
    <xf numFmtId="0" fontId="0" fillId="0" borderId="0" xfId="0" applyProtection="1">
      <protection locked="0"/>
    </xf>
    <xf numFmtId="0" fontId="0" fillId="0" borderId="7" xfId="0" applyBorder="1"/>
    <xf numFmtId="0" fontId="0" fillId="0" borderId="11" xfId="0" applyBorder="1" applyProtection="1">
      <protection locked="0"/>
    </xf>
    <xf numFmtId="0" fontId="0" fillId="0" borderId="12" xfId="0" applyBorder="1" applyProtection="1">
      <protection locked="0"/>
    </xf>
    <xf numFmtId="0" fontId="0" fillId="0" borderId="0" xfId="0" applyProtection="1"/>
    <xf numFmtId="0" fontId="0" fillId="0" borderId="14" xfId="0" applyBorder="1" applyProtection="1">
      <protection locked="0"/>
    </xf>
    <xf numFmtId="0" fontId="0" fillId="0" borderId="8"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0" xfId="0" applyAlignment="1" applyProtection="1"/>
    <xf numFmtId="0" fontId="6" fillId="3" borderId="2" xfId="0" applyFont="1" applyFill="1" applyBorder="1" applyAlignment="1" applyProtection="1">
      <alignment vertical="center" wrapText="1"/>
    </xf>
    <xf numFmtId="0" fontId="7" fillId="2" borderId="10" xfId="0" applyFont="1" applyFill="1" applyBorder="1" applyAlignment="1" applyProtection="1">
      <alignment horizontal="left" vertical="center" textRotation="90" wrapText="1"/>
    </xf>
    <xf numFmtId="0" fontId="0" fillId="4" borderId="5" xfId="0" applyFill="1" applyBorder="1" applyAlignment="1" applyProtection="1">
      <alignment vertical="top"/>
    </xf>
    <xf numFmtId="0" fontId="0" fillId="4" borderId="6" xfId="0" applyFill="1" applyBorder="1" applyAlignment="1" applyProtection="1">
      <alignment vertical="top"/>
    </xf>
    <xf numFmtId="0" fontId="2" fillId="3" borderId="1" xfId="0" applyFont="1" applyFill="1" applyBorder="1" applyAlignment="1" applyProtection="1">
      <alignment vertical="center" textRotation="90" wrapText="1"/>
    </xf>
    <xf numFmtId="0" fontId="0" fillId="0" borderId="17" xfId="0" applyFont="1" applyBorder="1" applyProtection="1">
      <protection locked="0"/>
    </xf>
    <xf numFmtId="0" fontId="7" fillId="2" borderId="18" xfId="0" applyFont="1" applyFill="1" applyBorder="1" applyAlignment="1" applyProtection="1">
      <alignment horizontal="right" vertical="center" textRotation="90" wrapText="1"/>
    </xf>
    <xf numFmtId="0" fontId="0" fillId="0" borderId="14" xfId="0" applyFont="1" applyBorder="1" applyProtection="1">
      <protection locked="0"/>
    </xf>
    <xf numFmtId="0" fontId="0" fillId="0" borderId="14" xfId="0" applyNumberFormat="1" applyFont="1" applyBorder="1" applyProtection="1">
      <protection locked="0"/>
    </xf>
    <xf numFmtId="0" fontId="2" fillId="0" borderId="1" xfId="0" applyFont="1" applyFill="1" applyBorder="1" applyAlignment="1" applyProtection="1">
      <alignment vertical="center" wrapText="1"/>
      <protection locked="0"/>
    </xf>
    <xf numFmtId="0" fontId="2" fillId="3" borderId="3" xfId="0" applyFont="1" applyFill="1" applyBorder="1" applyAlignment="1" applyProtection="1">
      <alignment vertical="center" textRotation="90" wrapText="1"/>
    </xf>
    <xf numFmtId="0" fontId="1" fillId="0" borderId="10" xfId="0" applyFont="1" applyFill="1" applyBorder="1" applyAlignment="1" applyProtection="1">
      <alignment vertical="center" wrapText="1"/>
      <protection locked="0"/>
    </xf>
    <xf numFmtId="164" fontId="1" fillId="0" borderId="23" xfId="2" applyNumberFormat="1" applyFont="1" applyFill="1" applyBorder="1" applyAlignment="1" applyProtection="1">
      <alignment vertical="center" wrapText="1"/>
      <protection locked="0"/>
    </xf>
    <xf numFmtId="164" fontId="1" fillId="0" borderId="19" xfId="2" applyNumberFormat="1" applyFont="1" applyFill="1" applyBorder="1" applyAlignment="1" applyProtection="1">
      <alignment vertical="center" wrapText="1"/>
      <protection locked="0"/>
    </xf>
    <xf numFmtId="164" fontId="1" fillId="0" borderId="26" xfId="2" applyNumberFormat="1" applyFont="1" applyFill="1" applyBorder="1" applyAlignment="1" applyProtection="1">
      <alignment vertical="center" wrapText="1"/>
      <protection locked="0"/>
    </xf>
    <xf numFmtId="0" fontId="0" fillId="3" borderId="7" xfId="0" applyFill="1" applyBorder="1" applyProtection="1"/>
    <xf numFmtId="0" fontId="5" fillId="3" borderId="7" xfId="0" applyFont="1" applyFill="1" applyBorder="1" applyAlignment="1" applyProtection="1">
      <alignment vertical="center" wrapText="1"/>
    </xf>
    <xf numFmtId="0" fontId="6" fillId="3" borderId="10" xfId="0" applyFont="1" applyFill="1" applyBorder="1" applyAlignment="1" applyProtection="1">
      <alignment vertical="center" wrapText="1"/>
    </xf>
    <xf numFmtId="8" fontId="0" fillId="0" borderId="0" xfId="0" applyNumberFormat="1" applyProtection="1"/>
    <xf numFmtId="0" fontId="4" fillId="2" borderId="10" xfId="0" applyFont="1" applyFill="1" applyBorder="1" applyAlignment="1" applyProtection="1">
      <alignment vertical="center" wrapText="1"/>
    </xf>
    <xf numFmtId="15" fontId="4" fillId="2" borderId="10" xfId="0" applyNumberFormat="1" applyFont="1" applyFill="1" applyBorder="1" applyAlignment="1" applyProtection="1">
      <alignment vertical="center" wrapText="1"/>
    </xf>
    <xf numFmtId="15" fontId="0" fillId="0" borderId="10" xfId="0" applyNumberFormat="1" applyBorder="1" applyProtection="1"/>
    <xf numFmtId="165" fontId="4" fillId="2" borderId="10" xfId="1" applyNumberFormat="1" applyFont="1" applyFill="1" applyBorder="1" applyAlignment="1" applyProtection="1">
      <alignment vertical="center" wrapText="1"/>
    </xf>
    <xf numFmtId="43" fontId="0" fillId="0" borderId="0" xfId="1" applyFont="1" applyProtection="1"/>
    <xf numFmtId="0" fontId="0" fillId="3" borderId="1" xfId="0" applyFill="1" applyBorder="1" applyProtection="1"/>
    <xf numFmtId="0" fontId="0" fillId="0" borderId="0" xfId="0" pivotButton="1"/>
    <xf numFmtId="0" fontId="0" fillId="0" borderId="0" xfId="0" applyAlignment="1">
      <alignment horizontal="left"/>
    </xf>
    <xf numFmtId="0" fontId="0" fillId="0" borderId="0" xfId="0" applyNumberFormat="1"/>
    <xf numFmtId="0" fontId="0" fillId="0" borderId="17" xfId="0" applyNumberFormat="1" applyFont="1" applyBorder="1" applyProtection="1">
      <protection locked="0"/>
    </xf>
    <xf numFmtId="0" fontId="15" fillId="2" borderId="18" xfId="0" applyFont="1" applyFill="1" applyBorder="1" applyAlignment="1" applyProtection="1">
      <alignment horizontal="right" vertical="center" textRotation="90" wrapText="1"/>
    </xf>
    <xf numFmtId="0" fontId="6" fillId="3" borderId="8" xfId="0" applyFont="1" applyFill="1" applyBorder="1" applyAlignment="1" applyProtection="1">
      <alignment vertical="center" wrapText="1"/>
    </xf>
    <xf numFmtId="0" fontId="6" fillId="6" borderId="27" xfId="0" applyFont="1" applyFill="1" applyBorder="1" applyAlignment="1" applyProtection="1">
      <alignment vertical="center" wrapText="1"/>
    </xf>
    <xf numFmtId="164" fontId="0" fillId="6" borderId="21" xfId="2" applyNumberFormat="1" applyFont="1" applyFill="1" applyBorder="1" applyProtection="1"/>
    <xf numFmtId="164" fontId="0" fillId="3" borderId="28" xfId="2" applyNumberFormat="1" applyFont="1" applyFill="1" applyBorder="1" applyProtection="1"/>
    <xf numFmtId="164" fontId="0" fillId="3" borderId="30" xfId="2" applyNumberFormat="1" applyFont="1" applyFill="1" applyBorder="1" applyProtection="1"/>
    <xf numFmtId="164" fontId="0" fillId="6" borderId="20" xfId="2" applyNumberFormat="1" applyFont="1" applyFill="1" applyBorder="1" applyProtection="1"/>
    <xf numFmtId="164" fontId="0" fillId="3" borderId="31" xfId="2" applyNumberFormat="1" applyFont="1" applyFill="1" applyBorder="1" applyProtection="1"/>
    <xf numFmtId="164" fontId="0" fillId="3" borderId="19" xfId="2" applyNumberFormat="1" applyFont="1" applyFill="1" applyBorder="1" applyProtection="1"/>
    <xf numFmtId="164" fontId="0" fillId="6" borderId="29" xfId="2" applyNumberFormat="1" applyFont="1" applyFill="1" applyBorder="1" applyProtection="1"/>
    <xf numFmtId="164" fontId="0" fillId="5" borderId="9" xfId="2" applyNumberFormat="1" applyFont="1" applyFill="1" applyBorder="1" applyProtection="1">
      <protection locked="0"/>
    </xf>
    <xf numFmtId="166" fontId="0" fillId="0" borderId="0" xfId="0" applyNumberFormat="1" applyProtection="1"/>
    <xf numFmtId="0" fontId="11" fillId="4" borderId="1" xfId="0" applyFont="1" applyFill="1" applyBorder="1" applyAlignment="1" applyProtection="1">
      <alignment horizontal="left" vertical="center" wrapText="1"/>
    </xf>
    <xf numFmtId="164" fontId="1" fillId="3" borderId="32" xfId="2" applyNumberFormat="1" applyFont="1" applyFill="1" applyBorder="1" applyAlignment="1" applyProtection="1">
      <alignment vertical="top"/>
      <protection locked="0"/>
    </xf>
    <xf numFmtId="0" fontId="0" fillId="0" borderId="13" xfId="0" applyBorder="1" applyAlignment="1" applyProtection="1">
      <alignment wrapText="1"/>
      <protection locked="0"/>
    </xf>
    <xf numFmtId="0" fontId="0" fillId="0" borderId="9" xfId="0" applyBorder="1" applyAlignment="1" applyProtection="1">
      <alignment wrapText="1"/>
      <protection locked="0"/>
    </xf>
    <xf numFmtId="0" fontId="17" fillId="4" borderId="1" xfId="0" applyFont="1" applyFill="1" applyBorder="1" applyAlignment="1" applyProtection="1">
      <alignment horizontal="left" vertical="center" wrapText="1"/>
    </xf>
    <xf numFmtId="165" fontId="16" fillId="3" borderId="32" xfId="1" applyNumberFormat="1" applyFont="1" applyFill="1" applyBorder="1" applyAlignment="1" applyProtection="1">
      <alignment vertical="center" wrapText="1"/>
      <protection locked="0"/>
    </xf>
    <xf numFmtId="0" fontId="0" fillId="3" borderId="10" xfId="0" applyFont="1" applyFill="1" applyBorder="1" applyProtection="1"/>
    <xf numFmtId="0" fontId="19" fillId="3" borderId="22" xfId="0" applyFont="1" applyFill="1" applyBorder="1" applyAlignment="1" applyProtection="1">
      <alignment vertical="center" wrapText="1"/>
    </xf>
    <xf numFmtId="0" fontId="18" fillId="3" borderId="10" xfId="0" applyFont="1" applyFill="1" applyBorder="1" applyAlignment="1" applyProtection="1">
      <alignment horizontal="center" vertical="center" wrapText="1"/>
    </xf>
    <xf numFmtId="0" fontId="5" fillId="3" borderId="10" xfId="0" applyFont="1" applyFill="1" applyBorder="1" applyAlignment="1" applyProtection="1">
      <alignment vertical="center" wrapText="1"/>
    </xf>
    <xf numFmtId="0" fontId="13" fillId="3" borderId="31" xfId="0" applyFont="1" applyFill="1" applyBorder="1" applyAlignment="1" applyProtection="1">
      <alignment vertical="center" wrapText="1"/>
    </xf>
    <xf numFmtId="0" fontId="7" fillId="7" borderId="10" xfId="0" applyFont="1" applyFill="1" applyBorder="1" applyAlignment="1" applyProtection="1">
      <alignment horizontal="left" vertical="center" wrapText="1"/>
    </xf>
    <xf numFmtId="0" fontId="9" fillId="7" borderId="4" xfId="0" applyFont="1" applyFill="1" applyBorder="1" applyAlignment="1" applyProtection="1">
      <alignment vertical="center" wrapText="1"/>
    </xf>
    <xf numFmtId="0" fontId="9" fillId="7" borderId="5" xfId="0" applyFont="1" applyFill="1" applyBorder="1" applyAlignment="1" applyProtection="1">
      <alignment vertical="center" wrapText="1"/>
    </xf>
    <xf numFmtId="0" fontId="2" fillId="7" borderId="5" xfId="0" applyFont="1" applyFill="1" applyBorder="1" applyAlignment="1" applyProtection="1">
      <alignment vertical="center" wrapText="1"/>
    </xf>
    <xf numFmtId="0" fontId="2" fillId="7" borderId="6" xfId="0" applyFont="1" applyFill="1" applyBorder="1" applyAlignment="1" applyProtection="1">
      <alignment vertical="center" wrapText="1"/>
    </xf>
    <xf numFmtId="0" fontId="11" fillId="7" borderId="8" xfId="0" applyFont="1" applyFill="1" applyBorder="1" applyAlignment="1" applyProtection="1">
      <alignment horizontal="left" vertical="center" wrapText="1"/>
    </xf>
    <xf numFmtId="0" fontId="7" fillId="7" borderId="10" xfId="0" applyFont="1" applyFill="1" applyBorder="1" applyAlignment="1" applyProtection="1">
      <alignment horizontal="left" vertical="center" textRotation="90" wrapText="1"/>
    </xf>
    <xf numFmtId="0" fontId="0" fillId="7" borderId="5" xfId="0" applyFill="1" applyBorder="1" applyAlignment="1" applyProtection="1">
      <alignment vertical="top"/>
    </xf>
    <xf numFmtId="0" fontId="0" fillId="0" borderId="0" xfId="0" applyAlignment="1" applyProtection="1">
      <alignment horizontal="right"/>
    </xf>
    <xf numFmtId="0" fontId="0" fillId="0" borderId="0" xfId="0" applyAlignment="1" applyProtection="1">
      <alignment vertical="center" wrapText="1"/>
    </xf>
    <xf numFmtId="167" fontId="1" fillId="0" borderId="10" xfId="0" applyNumberFormat="1" applyFont="1" applyFill="1" applyBorder="1" applyAlignment="1" applyProtection="1">
      <alignment horizontal="center" vertical="center" wrapText="1"/>
      <protection locked="0"/>
    </xf>
    <xf numFmtId="0" fontId="0" fillId="0" borderId="25" xfId="0" applyBorder="1" applyProtection="1"/>
    <xf numFmtId="0" fontId="0" fillId="0" borderId="6" xfId="0" applyBorder="1" applyProtection="1"/>
    <xf numFmtId="164" fontId="1" fillId="0" borderId="34" xfId="2" applyNumberFormat="1" applyFont="1" applyFill="1" applyBorder="1" applyAlignment="1" applyProtection="1">
      <alignment vertical="center" wrapText="1"/>
      <protection locked="0"/>
    </xf>
    <xf numFmtId="0" fontId="2" fillId="3" borderId="3" xfId="0" applyFont="1" applyFill="1" applyBorder="1" applyAlignment="1" applyProtection="1">
      <alignment horizontal="center" vertical="center" textRotation="90" wrapText="1"/>
      <protection locked="0"/>
    </xf>
    <xf numFmtId="0" fontId="2" fillId="0" borderId="3" xfId="0" applyFont="1" applyFill="1" applyBorder="1" applyAlignment="1" applyProtection="1">
      <alignment vertical="center" wrapText="1"/>
      <protection locked="0"/>
    </xf>
    <xf numFmtId="164" fontId="1" fillId="0" borderId="35" xfId="2" applyNumberFormat="1" applyFont="1" applyFill="1" applyBorder="1" applyAlignment="1" applyProtection="1">
      <alignment vertical="center" wrapText="1"/>
      <protection locked="0"/>
    </xf>
    <xf numFmtId="164" fontId="1" fillId="3" borderId="24" xfId="2" applyNumberFormat="1" applyFont="1" applyFill="1" applyBorder="1" applyAlignment="1" applyProtection="1">
      <alignment vertical="top"/>
      <protection locked="0"/>
    </xf>
    <xf numFmtId="165" fontId="1" fillId="3" borderId="24" xfId="1" applyNumberFormat="1" applyFont="1" applyFill="1" applyBorder="1" applyAlignment="1" applyProtection="1">
      <alignment vertical="center" wrapText="1"/>
      <protection locked="0"/>
    </xf>
    <xf numFmtId="0" fontId="0" fillId="0" borderId="13" xfId="0" applyBorder="1" applyProtection="1">
      <protection locked="0"/>
    </xf>
    <xf numFmtId="0" fontId="29" fillId="0" borderId="3" xfId="0" applyFont="1" applyFill="1" applyBorder="1" applyAlignment="1" applyProtection="1">
      <alignment vertical="center" wrapText="1"/>
    </xf>
    <xf numFmtId="164" fontId="16" fillId="0" borderId="20" xfId="0" applyNumberFormat="1" applyFont="1" applyFill="1" applyBorder="1" applyAlignment="1" applyProtection="1">
      <alignment vertical="center" wrapText="1"/>
    </xf>
    <xf numFmtId="164" fontId="16" fillId="0" borderId="0" xfId="0" applyNumberFormat="1" applyFont="1" applyFill="1" applyBorder="1" applyAlignment="1" applyProtection="1">
      <alignment vertical="center" wrapText="1"/>
    </xf>
    <xf numFmtId="0" fontId="16" fillId="0" borderId="20" xfId="0" applyFont="1" applyFill="1" applyBorder="1" applyAlignment="1" applyProtection="1">
      <alignment vertical="center" wrapText="1"/>
    </xf>
    <xf numFmtId="164" fontId="16" fillId="0" borderId="26" xfId="2" applyNumberFormat="1"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164" fontId="16" fillId="0" borderId="23" xfId="2" applyNumberFormat="1" applyFont="1" applyFill="1" applyBorder="1" applyAlignment="1" applyProtection="1">
      <alignment vertical="center" wrapText="1"/>
      <protection locked="0"/>
    </xf>
    <xf numFmtId="164" fontId="16" fillId="0" borderId="34" xfId="2" applyNumberFormat="1" applyFont="1" applyFill="1" applyBorder="1" applyAlignment="1" applyProtection="1">
      <alignment vertical="center" wrapText="1"/>
      <protection locked="0"/>
    </xf>
    <xf numFmtId="164" fontId="16" fillId="0" borderId="35" xfId="2" applyNumberFormat="1" applyFont="1" applyFill="1" applyBorder="1" applyAlignment="1" applyProtection="1">
      <alignment vertical="center" wrapText="1"/>
      <protection locked="0"/>
    </xf>
    <xf numFmtId="164" fontId="16" fillId="3" borderId="24" xfId="2" applyNumberFormat="1" applyFont="1" applyFill="1" applyBorder="1" applyAlignment="1" applyProtection="1">
      <alignment vertical="top"/>
      <protection locked="0"/>
    </xf>
    <xf numFmtId="165" fontId="16" fillId="3" borderId="24" xfId="1" applyNumberFormat="1" applyFont="1" applyFill="1" applyBorder="1" applyAlignment="1" applyProtection="1">
      <alignment vertical="center" wrapText="1"/>
      <protection locked="0"/>
    </xf>
    <xf numFmtId="164" fontId="0" fillId="5" borderId="33" xfId="2" applyNumberFormat="1" applyFont="1" applyFill="1" applyBorder="1" applyProtection="1">
      <protection locked="0"/>
    </xf>
    <xf numFmtId="164" fontId="0" fillId="5" borderId="0" xfId="2" applyNumberFormat="1" applyFont="1" applyFill="1" applyBorder="1" applyProtection="1">
      <protection locked="0"/>
    </xf>
    <xf numFmtId="0" fontId="13" fillId="3" borderId="7" xfId="0" applyFont="1" applyFill="1" applyBorder="1" applyAlignment="1" applyProtection="1">
      <alignment horizontal="center" vertical="center" wrapText="1"/>
    </xf>
    <xf numFmtId="9" fontId="0" fillId="0" borderId="0" xfId="3" applyFont="1" applyProtection="1"/>
    <xf numFmtId="0" fontId="6" fillId="6" borderId="10" xfId="0" applyFont="1" applyFill="1" applyBorder="1" applyAlignment="1" applyProtection="1">
      <alignment vertical="center" wrapText="1"/>
    </xf>
    <xf numFmtId="15" fontId="0" fillId="0" borderId="7" xfId="0" applyNumberFormat="1" applyBorder="1" applyProtection="1"/>
    <xf numFmtId="0" fontId="0" fillId="0" borderId="8" xfId="0" applyBorder="1" applyProtection="1"/>
    <xf numFmtId="0" fontId="0" fillId="0" borderId="9" xfId="0" applyBorder="1" applyProtection="1"/>
    <xf numFmtId="43" fontId="0" fillId="0" borderId="9" xfId="0" applyNumberFormat="1" applyBorder="1" applyProtection="1"/>
    <xf numFmtId="0" fontId="0" fillId="0" borderId="21" xfId="0" applyBorder="1" applyProtection="1"/>
    <xf numFmtId="15" fontId="0" fillId="0" borderId="33" xfId="0" applyNumberFormat="1" applyBorder="1" applyProtection="1"/>
    <xf numFmtId="0" fontId="0" fillId="0" borderId="0" xfId="0" applyBorder="1" applyProtection="1"/>
    <xf numFmtId="8" fontId="0" fillId="0" borderId="0" xfId="0" applyNumberFormat="1" applyBorder="1" applyProtection="1"/>
    <xf numFmtId="43" fontId="0" fillId="0" borderId="0" xfId="0" applyNumberFormat="1" applyBorder="1" applyProtection="1"/>
    <xf numFmtId="43" fontId="0" fillId="0" borderId="20" xfId="0" applyNumberFormat="1" applyBorder="1" applyProtection="1"/>
    <xf numFmtId="15" fontId="0" fillId="0" borderId="31" xfId="0" applyNumberFormat="1" applyBorder="1" applyProtection="1"/>
    <xf numFmtId="0" fontId="0" fillId="0" borderId="19" xfId="0" applyBorder="1" applyProtection="1"/>
    <xf numFmtId="8" fontId="0" fillId="0" borderId="19" xfId="0" applyNumberFormat="1" applyBorder="1" applyProtection="1"/>
    <xf numFmtId="43" fontId="0" fillId="0" borderId="19" xfId="0" applyNumberFormat="1" applyBorder="1" applyProtection="1"/>
    <xf numFmtId="0" fontId="0" fillId="0" borderId="2" xfId="0" applyBorder="1" applyProtection="1"/>
    <xf numFmtId="0" fontId="9" fillId="7" borderId="25" xfId="0" applyFont="1" applyFill="1" applyBorder="1" applyAlignment="1" applyProtection="1">
      <alignment horizontal="center" vertical="center" wrapText="1"/>
    </xf>
    <xf numFmtId="0" fontId="9" fillId="7" borderId="5" xfId="0" applyFont="1" applyFill="1" applyBorder="1" applyAlignment="1" applyProtection="1">
      <alignment horizontal="center" vertical="center" wrapText="1"/>
    </xf>
    <xf numFmtId="0" fontId="9" fillId="7"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textRotation="90" wrapText="1"/>
      <protection locked="0"/>
    </xf>
    <xf numFmtId="0" fontId="2" fillId="3" borderId="3" xfId="0" applyFont="1" applyFill="1" applyBorder="1" applyAlignment="1" applyProtection="1">
      <alignment horizontal="center" vertical="center" textRotation="90" wrapText="1"/>
      <protection locked="0"/>
    </xf>
    <xf numFmtId="0" fontId="1" fillId="3" borderId="25"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5" borderId="25"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21" fillId="8" borderId="9" xfId="0" applyFont="1" applyFill="1" applyBorder="1" applyAlignment="1" applyProtection="1">
      <alignment horizontal="center" vertical="center" wrapText="1"/>
    </xf>
    <xf numFmtId="0" fontId="21" fillId="8" borderId="21"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6" xfId="0" applyFont="1" applyFill="1" applyBorder="1" applyAlignment="1" applyProtection="1">
      <alignment horizontal="center" vertical="center" wrapText="1"/>
    </xf>
    <xf numFmtId="0" fontId="18" fillId="8" borderId="2" xfId="0" applyFont="1" applyFill="1" applyBorder="1" applyAlignment="1" applyProtection="1">
      <alignment horizontal="center" vertical="center" wrapText="1"/>
    </xf>
    <xf numFmtId="164" fontId="24" fillId="3" borderId="8" xfId="0" applyNumberFormat="1" applyFont="1" applyFill="1" applyBorder="1" applyAlignment="1" applyProtection="1">
      <alignment horizontal="center" vertical="center" wrapText="1"/>
    </xf>
    <xf numFmtId="164" fontId="24" fillId="3" borderId="21" xfId="0" applyNumberFormat="1"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164" fontId="18" fillId="3" borderId="8" xfId="2" applyNumberFormat="1" applyFont="1" applyFill="1" applyBorder="1" applyAlignment="1">
      <alignment horizontal="center" vertical="center" wrapText="1"/>
    </xf>
    <xf numFmtId="164" fontId="18" fillId="3" borderId="21" xfId="2" applyNumberFormat="1" applyFont="1" applyFill="1" applyBorder="1" applyAlignment="1">
      <alignment horizontal="center" vertical="center" wrapText="1"/>
    </xf>
    <xf numFmtId="49" fontId="1" fillId="0" borderId="25" xfId="2" applyNumberFormat="1" applyFont="1" applyFill="1" applyBorder="1" applyAlignment="1" applyProtection="1">
      <alignment horizontal="center" vertical="center" wrapText="1"/>
      <protection locked="0"/>
    </xf>
    <xf numFmtId="49" fontId="1" fillId="0" borderId="5" xfId="2" applyNumberFormat="1" applyFont="1" applyFill="1" applyBorder="1" applyAlignment="1" applyProtection="1">
      <alignment horizontal="center" vertical="center" wrapText="1"/>
      <protection locked="0"/>
    </xf>
    <xf numFmtId="49" fontId="1" fillId="0" borderId="6" xfId="2" applyNumberFormat="1" applyFont="1" applyFill="1" applyBorder="1" applyAlignment="1" applyProtection="1">
      <alignment horizontal="center" vertical="center" wrapText="1"/>
      <protection locked="0"/>
    </xf>
    <xf numFmtId="0" fontId="23" fillId="7" borderId="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21" xfId="0" applyFont="1" applyFill="1" applyBorder="1" applyAlignment="1" applyProtection="1">
      <alignment horizontal="center" vertical="center" wrapText="1"/>
    </xf>
    <xf numFmtId="0" fontId="23" fillId="7" borderId="33" xfId="0" applyFont="1" applyFill="1" applyBorder="1" applyAlignment="1" applyProtection="1">
      <alignment horizontal="center" vertical="center" wrapText="1"/>
    </xf>
    <xf numFmtId="0" fontId="23" fillId="7" borderId="0" xfId="0" applyFont="1" applyFill="1" applyBorder="1" applyAlignment="1" applyProtection="1">
      <alignment horizontal="center" vertical="center" wrapText="1"/>
    </xf>
    <xf numFmtId="0" fontId="23" fillId="7" borderId="20" xfId="0" applyFont="1" applyFill="1" applyBorder="1" applyAlignment="1" applyProtection="1">
      <alignment horizontal="center" vertical="center" wrapText="1"/>
    </xf>
    <xf numFmtId="0" fontId="23" fillId="7" borderId="31"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0" fontId="23" fillId="7" borderId="2" xfId="0" applyFont="1" applyFill="1" applyBorder="1" applyAlignment="1" applyProtection="1">
      <alignment horizontal="center" vertical="center" wrapText="1"/>
    </xf>
    <xf numFmtId="0" fontId="1" fillId="3" borderId="25"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3" fillId="3" borderId="7"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wrapText="1"/>
    </xf>
    <xf numFmtId="0" fontId="22" fillId="3" borderId="6"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21" fillId="8" borderId="6" xfId="0" applyFont="1" applyFill="1" applyBorder="1" applyAlignment="1" applyProtection="1">
      <alignment horizontal="center" vertical="center" wrapText="1"/>
    </xf>
    <xf numFmtId="0" fontId="0" fillId="0" borderId="0" xfId="0" applyAlignment="1" applyProtection="1">
      <alignment horizontal="left" vertical="top" wrapText="1"/>
    </xf>
    <xf numFmtId="164" fontId="27" fillId="8" borderId="25" xfId="2" applyNumberFormat="1" applyFont="1" applyFill="1" applyBorder="1" applyAlignment="1" applyProtection="1">
      <alignment horizontal="right" wrapText="1"/>
    </xf>
    <xf numFmtId="164" fontId="27" fillId="8" borderId="6" xfId="2" applyNumberFormat="1" applyFont="1" applyFill="1" applyBorder="1" applyAlignment="1" applyProtection="1">
      <alignment horizontal="right" wrapText="1"/>
    </xf>
    <xf numFmtId="0" fontId="27" fillId="8" borderId="25" xfId="0" applyFont="1" applyFill="1" applyBorder="1" applyAlignment="1" applyProtection="1">
      <alignment horizontal="right" wrapText="1"/>
    </xf>
    <xf numFmtId="0" fontId="27" fillId="8" borderId="6" xfId="0" applyFont="1" applyFill="1" applyBorder="1" applyAlignment="1" applyProtection="1">
      <alignment horizontal="right" wrapText="1"/>
    </xf>
    <xf numFmtId="168" fontId="27" fillId="8" borderId="25" xfId="3" applyNumberFormat="1" applyFont="1" applyFill="1" applyBorder="1" applyAlignment="1" applyProtection="1">
      <alignment horizontal="right" wrapText="1"/>
    </xf>
    <xf numFmtId="168" fontId="27" fillId="8" borderId="6" xfId="3" applyNumberFormat="1" applyFont="1" applyFill="1" applyBorder="1" applyAlignment="1" applyProtection="1">
      <alignment horizontal="right" wrapText="1"/>
    </xf>
    <xf numFmtId="168" fontId="28" fillId="3" borderId="25" xfId="3" applyNumberFormat="1" applyFont="1" applyFill="1" applyBorder="1" applyAlignment="1" applyProtection="1">
      <alignment horizontal="right"/>
      <protection locked="0"/>
    </xf>
    <xf numFmtId="168" fontId="28" fillId="3" borderId="6" xfId="3" applyNumberFormat="1" applyFont="1" applyFill="1" applyBorder="1" applyAlignment="1" applyProtection="1">
      <alignment horizontal="right"/>
      <protection locked="0"/>
    </xf>
    <xf numFmtId="0" fontId="21" fillId="8" borderId="25" xfId="0" applyFont="1" applyFill="1" applyBorder="1" applyAlignment="1" applyProtection="1">
      <alignment horizontal="center" vertical="center" wrapText="1"/>
    </xf>
    <xf numFmtId="0" fontId="0" fillId="0" borderId="25"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cellXfs>
  <cellStyles count="4">
    <cellStyle name="Comma" xfId="1" builtinId="3"/>
    <cellStyle name="Currency" xfId="2" builtinId="4"/>
    <cellStyle name="Normal" xfId="0" builtinId="0"/>
    <cellStyle name="Percent" xfId="3" builtinId="5"/>
  </cellStyles>
  <dxfs count="84">
    <dxf>
      <fill>
        <patternFill patternType="lightDown">
          <fgColor theme="1"/>
        </patternFill>
      </fill>
    </dxf>
    <dxf>
      <fill>
        <patternFill patternType="lightDown">
          <fgColor theme="1"/>
        </patternFill>
      </fill>
    </dxf>
    <dxf>
      <fill>
        <patternFill patternType="lightUp"/>
      </fill>
    </dxf>
    <dxf>
      <protection locked="1" hidden="0"/>
    </dxf>
    <dxf>
      <numFmt numFmtId="0" formatCode="General"/>
      <border diagonalUp="0" diagonalDown="0">
        <left style="thin">
          <color indexed="64"/>
        </left>
        <right/>
        <top style="medium">
          <color indexed="64"/>
        </top>
        <bottom style="thin">
          <color indexed="64"/>
        </bottom>
        <vertical/>
        <horizontal/>
      </border>
      <protection locked="0" hidden="0"/>
    </dxf>
    <dxf>
      <protection locked="1" hidden="0"/>
    </dxf>
    <dxf>
      <numFmt numFmtId="0" formatCode="General"/>
      <border diagonalUp="0" diagonalDown="0">
        <left style="thin">
          <color indexed="64"/>
        </left>
        <right/>
        <top style="medium">
          <color indexed="64"/>
        </top>
        <bottom style="thin">
          <color indexed="64"/>
        </bottom>
        <vertical/>
        <horizontal/>
      </border>
      <protection locked="0" hidden="0"/>
    </dxf>
    <dxf>
      <protection locked="1" hidden="0"/>
    </dxf>
    <dxf>
      <numFmt numFmtId="0" formatCode="General"/>
      <border diagonalUp="0" diagonalDown="0">
        <left style="thin">
          <color indexed="64"/>
        </left>
        <right/>
        <top style="medium">
          <color indexed="64"/>
        </top>
        <bottom style="thin">
          <color indexed="64"/>
        </bottom>
        <vertical/>
        <horizontal/>
      </border>
      <protection locked="0" hidden="0"/>
    </dxf>
    <dxf>
      <protection locked="1" hidden="0"/>
    </dxf>
    <dxf>
      <numFmt numFmtId="0" formatCode="General"/>
      <border diagonalUp="0" diagonalDown="0">
        <left style="thin">
          <color indexed="64"/>
        </left>
        <right/>
        <top style="medium">
          <color indexed="64"/>
        </top>
        <bottom style="thin">
          <color indexed="64"/>
        </bottom>
        <vertical/>
        <horizontal/>
      </border>
      <protection locked="0" hidden="0"/>
    </dxf>
    <dxf>
      <border diagonalUp="0" diagonalDown="0">
        <left style="thin">
          <color indexed="64"/>
        </left>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left style="medium">
          <color indexed="64"/>
        </left>
        <right/>
        <top style="medium">
          <color indexed="64"/>
        </top>
        <bottom style="thin">
          <color indexed="64"/>
        </bottom>
        <vertical/>
        <horizontal/>
      </border>
      <protection locked="0" hidden="0"/>
    </dxf>
    <dxf>
      <border diagonalUp="0" diagonalDown="0">
        <left style="thin">
          <color indexed="64"/>
        </left>
        <right style="medium">
          <color indexed="64"/>
        </right>
        <top style="medium">
          <color indexed="64"/>
        </top>
        <bottom style="thin">
          <color indexed="64"/>
        </bottom>
        <vertical/>
        <horizontal/>
      </border>
      <protection locked="0" hidden="0"/>
    </dxf>
    <dxf>
      <border diagonalUp="0" diagonalDown="0" outline="0">
        <left/>
        <right/>
        <top style="medium">
          <color indexed="64"/>
        </top>
        <bottom style="thin">
          <color indexed="64"/>
        </bottom>
      </border>
      <protection locked="0" hidden="0"/>
    </dxf>
    <dxf>
      <border diagonalUp="0" diagonalDown="0" outline="0">
        <left/>
        <right/>
        <top style="medium">
          <color indexed="64"/>
        </top>
        <bottom/>
      </border>
      <protection locked="0" hidden="0"/>
    </dxf>
    <dxf>
      <alignment horizontal="general" vertical="bottom" textRotation="0" wrapText="1" indent="0" justifyLastLine="0" shrinkToFit="0" readingOrder="0"/>
      <border diagonalUp="0" diagonalDown="0" outline="0">
        <left/>
        <right/>
        <top style="medium">
          <color indexed="64"/>
        </top>
        <bottom style="thin">
          <color indexed="64"/>
        </bottom>
      </border>
      <protection locked="0" hidden="0"/>
    </dxf>
    <dxf>
      <border outline="0">
        <top style="medium">
          <color rgb="FF000000"/>
        </top>
      </border>
    </dxf>
    <dxf>
      <protection locked="1" hidden="0"/>
    </dxf>
    <dxf>
      <border outline="0">
        <left style="medium">
          <color rgb="FF000000"/>
        </left>
        <right style="medium">
          <color rgb="FF000000"/>
        </right>
        <bottom style="thin">
          <color rgb="FF000000"/>
        </bottom>
      </border>
    </dxf>
    <dxf>
      <protection locked="0" hidden="0"/>
    </dxf>
    <dxf>
      <border outline="0">
        <bottom style="medium">
          <color rgb="FF000000"/>
        </bottom>
      </border>
    </dxf>
    <dxf>
      <font>
        <b val="0"/>
        <i/>
        <strike val="0"/>
        <condense val="0"/>
        <extend val="0"/>
        <outline val="0"/>
        <shadow val="0"/>
        <u val="none"/>
        <vertAlign val="baseline"/>
        <sz val="9"/>
        <color auto="1"/>
        <name val="Arial"/>
        <scheme val="none"/>
      </font>
      <fill>
        <patternFill patternType="solid">
          <fgColor indexed="64"/>
          <bgColor theme="9" tint="0.59999389629810485"/>
        </patternFill>
      </fill>
      <alignment horizontal="right" vertical="center" textRotation="90" wrapText="1" indent="0" justifyLastLine="0" shrinkToFit="0" readingOrder="0"/>
      <border diagonalUp="0" diagonalDown="0">
        <left style="medium">
          <color indexed="64"/>
        </left>
        <right style="medium">
          <color indexed="64"/>
        </right>
        <top/>
        <bottom/>
      </border>
      <protection locked="1" hidden="0"/>
    </dxf>
    <dxf>
      <fill>
        <patternFill patternType="lightUp"/>
      </fill>
    </dxf>
    <dxf>
      <numFmt numFmtId="169" formatCode="&quot;Only one date per milestone&quot;;&quot;Only one date per milestone&quot;;&quot;Only one date per milestone&quot;;&quot;Only one date per milestone&quot;"/>
      <fill>
        <patternFill>
          <bgColor rgb="FFFF0000"/>
        </patternFill>
      </fill>
    </dxf>
    <dxf>
      <numFmt numFmtId="170" formatCode="&quot;Achieved marked w/o milestone&quot;;&quot;Achieved marked w/o milestone&quot;;&quot;Achieved marked w/o milestone&quot;;&quot;Achieved marked w/o milestone&quot;"/>
      <fill>
        <patternFill>
          <bgColor rgb="FFFF0000"/>
        </patternFill>
      </fill>
    </dxf>
    <dxf>
      <numFmt numFmtId="171" formatCode="&quot;Multiple recorded 'achieved'&quot;;&quot;Multiple recorded 'achieved'&quot;;&quot;Multiple recorded 'achieved'&quot;;&quot;Multiple recorded 'achieved'&quot;"/>
      <fill>
        <patternFill>
          <bgColor rgb="FFFF0000"/>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5" formatCode="_(* #,##0_);_(* \(#,##0\);_(* &quot;-&quot;??_);_(@_)"/>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ck">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medium">
          <color auto="1"/>
        </top>
        <bottom style="medium">
          <color auto="1"/>
        </bottom>
        <vertical style="thin">
          <color indexed="64"/>
        </vertical>
        <horizontal style="medium">
          <color auto="1"/>
        </horizontal>
      </border>
      <protection locked="0"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protection locked="1" hidden="0"/>
    </dxf>
    <dxf>
      <font>
        <b val="0"/>
        <i val="0"/>
        <strike val="0"/>
        <condense val="0"/>
        <extend val="0"/>
        <outline val="0"/>
        <shadow val="0"/>
        <u val="none"/>
        <vertAlign val="baseline"/>
        <sz val="11"/>
        <color theme="1"/>
        <name val="Arial"/>
        <scheme val="none"/>
      </font>
      <numFmt numFmtId="164" formatCode="_(&quot;$&quot;* #,##0_);_(&quot;$&quot;* \(#,##0\);_(&quot;$&quot;* &quot;-&quot;??_);_(@_)"/>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thin">
          <color indexed="64"/>
        </right>
        <top style="medium">
          <color auto="1"/>
        </top>
        <bottom style="medium">
          <color auto="1"/>
        </bottom>
        <vertical style="thin">
          <color indexed="64"/>
        </vertical>
        <horizontal style="medium">
          <color auto="1"/>
        </horizontal>
      </border>
      <protection locked="0" hidden="0"/>
    </dxf>
    <dxf>
      <font>
        <b val="0"/>
        <i/>
        <strike val="0"/>
        <condense val="0"/>
        <extend val="0"/>
        <outline val="0"/>
        <shadow val="0"/>
        <u val="none"/>
        <vertAlign val="baseline"/>
        <sz val="11"/>
        <color theme="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protection locked="1" hidden="0"/>
    </dxf>
    <dxf>
      <protection locked="1" hidden="0"/>
    </dxf>
    <dxf>
      <border outline="0">
        <right style="medium">
          <color indexed="64"/>
        </right>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alignment horizontal="general" vertical="center" textRotation="0" wrapText="1" indent="0" justifyLastLine="0" shrinkToFit="0" readingOrder="0"/>
      <protection locked="0" hidden="0"/>
    </dxf>
    <dxf>
      <border outline="0">
        <bottom style="medium">
          <color indexed="64"/>
        </bottom>
      </border>
    </dxf>
    <dxf>
      <font>
        <b/>
        <i/>
        <strike val="0"/>
        <condense val="0"/>
        <extend val="0"/>
        <outline val="0"/>
        <shadow val="0"/>
        <u val="none"/>
        <vertAlign val="baseline"/>
        <sz val="9"/>
        <color auto="1"/>
        <name val="Arial"/>
        <scheme val="none"/>
      </font>
      <fill>
        <patternFill patternType="solid">
          <fgColor indexed="64"/>
          <bgColor theme="9" tint="-0.249977111117893"/>
        </patternFill>
      </fill>
      <alignment horizontal="left" vertical="center" textRotation="0" wrapText="1" indent="0" justifyLastLine="0" shrinkToFit="0" readingOrder="0"/>
      <border diagonalUp="0" diagonalDown="0">
        <left style="medium">
          <color indexed="64"/>
        </left>
        <right style="medium">
          <color indexed="64"/>
        </right>
        <top/>
        <bottom/>
      </border>
      <protection locked="1" hidden="0"/>
    </dxf>
    <dxf>
      <fill>
        <patternFill patternType="lightUp"/>
      </fill>
    </dxf>
  </dxfs>
  <tableStyles count="0" defaultTableStyle="TableStyleMedium2" defaultPivotStyle="PivotStyleLight16"/>
  <colors>
    <mruColors>
      <color rgb="FFEFE7C3"/>
      <color rgb="FFF4E5D0"/>
      <color rgb="FFEDD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29</xdr:row>
      <xdr:rowOff>104775</xdr:rowOff>
    </xdr:from>
    <xdr:to>
      <xdr:col>8</xdr:col>
      <xdr:colOff>514352</xdr:colOff>
      <xdr:row>29</xdr:row>
      <xdr:rowOff>1755046</xdr:rowOff>
    </xdr:to>
    <xdr:pic>
      <xdr:nvPicPr>
        <xdr:cNvPr id="4" name="Picture 3">
          <a:extLst>
            <a:ext uri="{FF2B5EF4-FFF2-40B4-BE49-F238E27FC236}">
              <a16:creationId xmlns:a16="http://schemas.microsoft.com/office/drawing/2014/main" id="{F2420962-DB9A-40DA-97C4-ED83B7D37B28}"/>
            </a:ext>
          </a:extLst>
        </xdr:cNvPr>
        <xdr:cNvPicPr>
          <a:picLocks noChangeAspect="1"/>
        </xdr:cNvPicPr>
      </xdr:nvPicPr>
      <xdr:blipFill>
        <a:blip xmlns:r="http://schemas.openxmlformats.org/officeDocument/2006/relationships" r:embed="rId1"/>
        <a:stretch>
          <a:fillRect/>
        </a:stretch>
      </xdr:blipFill>
      <xdr:spPr>
        <a:xfrm>
          <a:off x="5734050" y="3962400"/>
          <a:ext cx="2190752" cy="165027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104773</xdr:colOff>
      <xdr:row>22</xdr:row>
      <xdr:rowOff>66675</xdr:rowOff>
    </xdr:from>
    <xdr:to>
      <xdr:col>14</xdr:col>
      <xdr:colOff>714375</xdr:colOff>
      <xdr:row>22</xdr:row>
      <xdr:rowOff>1716946</xdr:rowOff>
    </xdr:to>
    <xdr:pic>
      <xdr:nvPicPr>
        <xdr:cNvPr id="2" name="Picture 1">
          <a:extLst>
            <a:ext uri="{FF2B5EF4-FFF2-40B4-BE49-F238E27FC236}">
              <a16:creationId xmlns:a16="http://schemas.microsoft.com/office/drawing/2014/main" id="{F2420962-DB9A-40DA-97C4-ED83B7D37B28}"/>
            </a:ext>
          </a:extLst>
        </xdr:cNvPr>
        <xdr:cNvPicPr>
          <a:picLocks noChangeAspect="1"/>
        </xdr:cNvPicPr>
      </xdr:nvPicPr>
      <xdr:blipFill>
        <a:blip xmlns:r="http://schemas.openxmlformats.org/officeDocument/2006/relationships" r:embed="rId1"/>
        <a:stretch>
          <a:fillRect/>
        </a:stretch>
      </xdr:blipFill>
      <xdr:spPr>
        <a:xfrm>
          <a:off x="5829298" y="4191000"/>
          <a:ext cx="2190752" cy="165027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tech" refreshedDate="42977.490271643517" createdVersion="5" refreshedVersion="5" minRefreshableVersion="3" recordCount="10">
  <cacheSource type="worksheet">
    <worksheetSource name="Milestones6"/>
  </cacheSource>
  <cacheFields count="29">
    <cacheField name="Major Milestones or Deliverables" numFmtId="0">
      <sharedItems containsBlank="1"/>
    </cacheField>
    <cacheField name="Y1Q1_x000a_(Apr – Jun)" numFmtId="0">
      <sharedItems containsNonDate="0" containsString="0" containsBlank="1"/>
    </cacheField>
    <cacheField name="Y1Q1_x000a_Achieved" numFmtId="0">
      <sharedItems containsNonDate="0" containsString="0" containsBlank="1"/>
    </cacheField>
    <cacheField name="Y1Q2_x000a_(Jul – Sep)" numFmtId="0">
      <sharedItems containsNonDate="0" containsString="0" containsBlank="1"/>
    </cacheField>
    <cacheField name="Y1Q2_x000a_Achieved" numFmtId="0">
      <sharedItems containsNonDate="0" containsString="0" containsBlank="1"/>
    </cacheField>
    <cacheField name="Y1Q3_x000a_(Oct – Dec)" numFmtId="0">
      <sharedItems containsNonDate="0" containsString="0" containsBlank="1"/>
    </cacheField>
    <cacheField name="Y1Q3_x000a_Achieved" numFmtId="0">
      <sharedItems containsNonDate="0" containsString="0" containsBlank="1"/>
    </cacheField>
    <cacheField name="Y1Q4_x000a_(Jan – Mar) " numFmtId="0">
      <sharedItems containsNonDate="0" containsString="0" containsBlank="1"/>
    </cacheField>
    <cacheField name="Y1Q4_x000a_Achieved" numFmtId="0">
      <sharedItems containsNonDate="0" containsString="0" containsBlank="1"/>
    </cacheField>
    <cacheField name="Y2Q1_x000a_(Apr – Jun)" numFmtId="0">
      <sharedItems containsNonDate="0" containsString="0" containsBlank="1"/>
    </cacheField>
    <cacheField name="Y2Q1_x000a_Achieved" numFmtId="0">
      <sharedItems containsNonDate="0" containsString="0" containsBlank="1"/>
    </cacheField>
    <cacheField name="Y2Q2_x000a_(Jul – Sep)" numFmtId="0">
      <sharedItems containsNonDate="0" containsString="0" containsBlank="1"/>
    </cacheField>
    <cacheField name="Y2Q2_x000a_Achieved" numFmtId="0">
      <sharedItems containsNonDate="0" containsString="0" containsBlank="1"/>
    </cacheField>
    <cacheField name="Y2Q3_x000a_(Oct – Dec)" numFmtId="0">
      <sharedItems containsNonDate="0" containsString="0" containsBlank="1"/>
    </cacheField>
    <cacheField name="Y2Q3_x000a_Achieved" numFmtId="0">
      <sharedItems containsNonDate="0" containsString="0" containsBlank="1"/>
    </cacheField>
    <cacheField name="Y2Q4_x000a_(Jan – Mar) " numFmtId="0">
      <sharedItems containsNonDate="0" containsString="0" containsBlank="1"/>
    </cacheField>
    <cacheField name="Y2Q4_x000a_Achieved" numFmtId="0">
      <sharedItems containsNonDate="0" containsString="0" containsBlank="1"/>
    </cacheField>
    <cacheField name="Y3Q1_x000a_(Apr – Jun)" numFmtId="0">
      <sharedItems containsNonDate="0" containsString="0" containsBlank="1"/>
    </cacheField>
    <cacheField name="Y3Q1_x000a_Achieved" numFmtId="0">
      <sharedItems containsNonDate="0" containsString="0" containsBlank="1"/>
    </cacheField>
    <cacheField name="Y3Q2_x000a_(Jul – Sep)" numFmtId="0">
      <sharedItems containsNonDate="0" containsString="0" containsBlank="1"/>
    </cacheField>
    <cacheField name="Y3Q2_x000a_Achieved" numFmtId="0">
      <sharedItems containsNonDate="0" containsString="0" containsBlank="1"/>
    </cacheField>
    <cacheField name="Y3Q3_x000a_(Oct – Dec)" numFmtId="0">
      <sharedItems containsNonDate="0" containsString="0" containsBlank="1"/>
    </cacheField>
    <cacheField name="Y3Q3_x000a_Achieved" numFmtId="0">
      <sharedItems containsNonDate="0" containsString="0" containsBlank="1"/>
    </cacheField>
    <cacheField name="Y3Q4_x000a_(Jan – Mar)" numFmtId="0">
      <sharedItems containsNonDate="0" containsString="0" containsBlank="1"/>
    </cacheField>
    <cacheField name="Y3Q4_x000a_Achieved" numFmtId="0">
      <sharedItems containsNonDate="0" containsString="0" containsBlank="1"/>
    </cacheField>
    <cacheField name="Year and Period of Milestone" numFmtId="0">
      <sharedItems/>
    </cacheField>
    <cacheField name="Year and Period achieved" numFmtId="0">
      <sharedItems/>
    </cacheField>
    <cacheField name="Milestone Import String" numFmtId="0">
      <sharedItems count="9">
        <s v=""/>
        <s v="Give Zac Fidget Spinners****DATE:****Y1Q3" u="1"/>
        <s v="Milestone 3****DATE:****Y1Q2" u="1"/>
        <s v="Milestone 1****DATE:****Y1Q1" u="1"/>
        <s v="Milestone 2****DATE:****Y1Q1" u="1"/>
        <s v="Milestone 4****DATE:****Y2Q1" u="1"/>
        <s v="ABC^^^^Milestone 2****DATE:####2018Q3" u="1"/>
        <s v="ABC^^^^Milestone 3****DATE:####2018Q4" u="1"/>
        <s v="ABC^^^^Milestone 4****DATE:####2018Q4" u="1"/>
      </sharedItems>
    </cacheField>
    <cacheField name="Achieved Import String" numFmtId="0">
      <sharedItems count="3">
        <s v=""/>
        <s v="Milestone 4****ACHIEVED:****Y2Q2" u="1"/>
        <s v="Give Zac Fidget Spinners****ACHIEVED:****Y2Q3"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tech" refreshedDate="42977.490531828706" createdVersion="5" refreshedVersion="5" minRefreshableVersion="3" recordCount="9">
  <cacheSource type="worksheet">
    <worksheetSource name="Budget"/>
  </cacheSource>
  <cacheFields count="17">
    <cacheField name="Category (Itemize as necessary)" numFmtId="0">
      <sharedItems containsBlank="1"/>
    </cacheField>
    <cacheField name="Y1Q1_x000a_(Apr – Jun)" numFmtId="164">
      <sharedItems containsNonDate="0" containsString="0" containsBlank="1"/>
    </cacheField>
    <cacheField name="Y1Q2_x000a_(Jul – Sep)" numFmtId="164">
      <sharedItems containsString="0" containsBlank="1" containsNumber="1" containsInteger="1" minValue="1000000" maxValue="1000000"/>
    </cacheField>
    <cacheField name="Y1Q3_x000a_(Oct – Dec)" numFmtId="164">
      <sharedItems containsNonDate="0" containsString="0" containsBlank="1"/>
    </cacheField>
    <cacheField name="Y1Q4_x000a_(Jan – Mar) " numFmtId="164">
      <sharedItems containsNonDate="0" containsString="0" containsBlank="1"/>
    </cacheField>
    <cacheField name="Y2Q1_x000a_(Apr – Jun)" numFmtId="164">
      <sharedItems containsNonDate="0" containsString="0" containsBlank="1"/>
    </cacheField>
    <cacheField name="Y2Q2_x000a_(Jul – Sep)" numFmtId="164">
      <sharedItems containsNonDate="0" containsString="0" containsBlank="1"/>
    </cacheField>
    <cacheField name="Y2Q3_x000a_(Oct – Dec)" numFmtId="164">
      <sharedItems containsNonDate="0" containsString="0" containsBlank="1"/>
    </cacheField>
    <cacheField name="Y2Q4_x000a_(Jan – Mar) " numFmtId="164">
      <sharedItems containsNonDate="0" containsString="0" containsBlank="1"/>
    </cacheField>
    <cacheField name="Y3Q1_x000a_(Apr – Jun)" numFmtId="164">
      <sharedItems containsNonDate="0" containsString="0" containsBlank="1"/>
    </cacheField>
    <cacheField name="Y3Q2_x000a_(Jul – Sep)" numFmtId="164">
      <sharedItems containsNonDate="0" containsString="0" containsBlank="1"/>
    </cacheField>
    <cacheField name="Y3Q3_x000a_(Oct – Dec)" numFmtId="164">
      <sharedItems containsNonDate="0" containsString="0" containsBlank="1"/>
    </cacheField>
    <cacheField name="Y3Q4_x000a_(Jan – Mar)" numFmtId="164">
      <sharedItems containsNonDate="0" containsString="0" containsBlank="1"/>
    </cacheField>
    <cacheField name="Project Total" numFmtId="164">
      <sharedItems containsSemiMixedTypes="0" containsString="0" containsNumber="1" containsInteger="1" minValue="0" maxValue="1000000"/>
    </cacheField>
    <cacheField name="Name****Category" numFmtId="164">
      <sharedItems count="15">
        <s v="****Salaries and Wages"/>
        <s v="****Benefits (25% of S&amp;W)"/>
        <s v="****Materials/Equipment"/>
        <s v="****Office Space/Facilities"/>
        <s v="****Training/Development"/>
        <s v="****Consultants"/>
        <s v="****Other: "/>
        <s v=""/>
        <s v="ABC****Office Space/Facilities" u="1"/>
        <s v="ABC****Materials/Equipment" u="1"/>
        <s v="ABC****Benefits (25% of S&amp;W)" u="1"/>
        <s v="ABC****Consultants" u="1"/>
        <s v="ABC****Salaries and Wages" u="1"/>
        <s v="ABC****Training/Development" u="1"/>
        <s v="ABC****Other: " u="1"/>
      </sharedItems>
    </cacheField>
    <cacheField name="Year of Import" numFmtId="165">
      <sharedItems containsSemiMixedTypes="0" containsString="0" containsNumber="1" containsInteger="1" minValue="2017" maxValue="2017"/>
    </cacheField>
    <cacheField name="Period" numFmtId="0" formula="&quot;Y1Q1&quot;"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Milestone 1"/>
    <m/>
    <m/>
    <m/>
    <m/>
    <m/>
    <m/>
    <m/>
    <m/>
    <m/>
    <m/>
    <m/>
    <m/>
    <m/>
    <m/>
    <m/>
    <m/>
    <m/>
    <m/>
    <m/>
    <m/>
    <m/>
    <m/>
    <m/>
    <m/>
    <s v=""/>
    <s v=""/>
    <x v="0"/>
    <x v="0"/>
  </r>
  <r>
    <s v="Milestone 2"/>
    <m/>
    <m/>
    <m/>
    <m/>
    <m/>
    <m/>
    <m/>
    <m/>
    <m/>
    <m/>
    <m/>
    <m/>
    <m/>
    <m/>
    <m/>
    <m/>
    <m/>
    <m/>
    <m/>
    <m/>
    <m/>
    <m/>
    <m/>
    <m/>
    <s v=""/>
    <s v=""/>
    <x v="0"/>
    <x v="0"/>
  </r>
  <r>
    <s v="Milestone 3"/>
    <m/>
    <m/>
    <m/>
    <m/>
    <m/>
    <m/>
    <m/>
    <m/>
    <m/>
    <m/>
    <m/>
    <m/>
    <m/>
    <m/>
    <m/>
    <m/>
    <m/>
    <m/>
    <m/>
    <m/>
    <m/>
    <m/>
    <m/>
    <m/>
    <s v=""/>
    <s v=""/>
    <x v="0"/>
    <x v="0"/>
  </r>
  <r>
    <s v="Milestone 4"/>
    <m/>
    <m/>
    <m/>
    <m/>
    <m/>
    <m/>
    <m/>
    <m/>
    <m/>
    <m/>
    <m/>
    <m/>
    <m/>
    <m/>
    <m/>
    <m/>
    <m/>
    <m/>
    <m/>
    <m/>
    <m/>
    <m/>
    <m/>
    <m/>
    <s v=""/>
    <s v=""/>
    <x v="0"/>
    <x v="0"/>
  </r>
  <r>
    <m/>
    <m/>
    <m/>
    <m/>
    <m/>
    <m/>
    <m/>
    <m/>
    <m/>
    <m/>
    <m/>
    <m/>
    <m/>
    <m/>
    <m/>
    <m/>
    <m/>
    <m/>
    <m/>
    <m/>
    <m/>
    <m/>
    <m/>
    <m/>
    <m/>
    <s v=""/>
    <s v=""/>
    <x v="0"/>
    <x v="0"/>
  </r>
  <r>
    <m/>
    <m/>
    <m/>
    <m/>
    <m/>
    <m/>
    <m/>
    <m/>
    <m/>
    <m/>
    <m/>
    <m/>
    <m/>
    <m/>
    <m/>
    <m/>
    <m/>
    <m/>
    <m/>
    <m/>
    <m/>
    <m/>
    <m/>
    <m/>
    <m/>
    <s v=""/>
    <s v=""/>
    <x v="0"/>
    <x v="0"/>
  </r>
  <r>
    <m/>
    <m/>
    <m/>
    <m/>
    <m/>
    <m/>
    <m/>
    <m/>
    <m/>
    <m/>
    <m/>
    <m/>
    <m/>
    <m/>
    <m/>
    <m/>
    <m/>
    <m/>
    <m/>
    <m/>
    <m/>
    <m/>
    <m/>
    <m/>
    <m/>
    <s v=""/>
    <s v=""/>
    <x v="0"/>
    <x v="0"/>
  </r>
  <r>
    <m/>
    <m/>
    <m/>
    <m/>
    <m/>
    <m/>
    <m/>
    <m/>
    <m/>
    <m/>
    <m/>
    <m/>
    <m/>
    <m/>
    <m/>
    <m/>
    <m/>
    <m/>
    <m/>
    <m/>
    <m/>
    <m/>
    <m/>
    <m/>
    <m/>
    <s v=""/>
    <s v=""/>
    <x v="0"/>
    <x v="0"/>
  </r>
  <r>
    <m/>
    <m/>
    <m/>
    <m/>
    <m/>
    <m/>
    <m/>
    <m/>
    <m/>
    <m/>
    <m/>
    <m/>
    <m/>
    <m/>
    <m/>
    <m/>
    <m/>
    <m/>
    <m/>
    <m/>
    <m/>
    <m/>
    <m/>
    <m/>
    <m/>
    <s v=""/>
    <s v=""/>
    <x v="0"/>
    <x v="0"/>
  </r>
  <r>
    <m/>
    <m/>
    <m/>
    <m/>
    <m/>
    <m/>
    <m/>
    <m/>
    <m/>
    <m/>
    <m/>
    <m/>
    <m/>
    <m/>
    <m/>
    <m/>
    <m/>
    <m/>
    <m/>
    <m/>
    <m/>
    <m/>
    <m/>
    <m/>
    <m/>
    <s v=""/>
    <s v=""/>
    <x v="0"/>
    <x v="0"/>
  </r>
</pivotCacheRecords>
</file>

<file path=xl/pivotCache/pivotCacheRecords2.xml><?xml version="1.0" encoding="utf-8"?>
<pivotCacheRecords xmlns="http://schemas.openxmlformats.org/spreadsheetml/2006/main" xmlns:r="http://schemas.openxmlformats.org/officeDocument/2006/relationships" count="9">
  <r>
    <s v="Salaries and Wages"/>
    <m/>
    <n v="1000000"/>
    <m/>
    <m/>
    <m/>
    <m/>
    <m/>
    <m/>
    <m/>
    <m/>
    <m/>
    <m/>
    <n v="1000000"/>
    <x v="0"/>
    <n v="2017"/>
  </r>
  <r>
    <s v="Benefits (25% of S&amp;W)"/>
    <m/>
    <m/>
    <m/>
    <m/>
    <m/>
    <m/>
    <m/>
    <m/>
    <m/>
    <m/>
    <m/>
    <m/>
    <n v="0"/>
    <x v="1"/>
    <n v="2017"/>
  </r>
  <r>
    <s v="Materials/Equipment"/>
    <m/>
    <m/>
    <m/>
    <m/>
    <m/>
    <m/>
    <m/>
    <m/>
    <m/>
    <m/>
    <m/>
    <m/>
    <n v="0"/>
    <x v="2"/>
    <n v="2017"/>
  </r>
  <r>
    <s v="Office Space/Facilities"/>
    <m/>
    <m/>
    <m/>
    <m/>
    <m/>
    <m/>
    <m/>
    <m/>
    <m/>
    <m/>
    <m/>
    <m/>
    <n v="0"/>
    <x v="3"/>
    <n v="2017"/>
  </r>
  <r>
    <s v="Training/Development"/>
    <m/>
    <m/>
    <m/>
    <m/>
    <m/>
    <m/>
    <m/>
    <m/>
    <m/>
    <m/>
    <m/>
    <m/>
    <n v="0"/>
    <x v="4"/>
    <n v="2017"/>
  </r>
  <r>
    <s v="Consultants"/>
    <m/>
    <m/>
    <m/>
    <m/>
    <m/>
    <m/>
    <m/>
    <m/>
    <m/>
    <m/>
    <m/>
    <m/>
    <n v="0"/>
    <x v="5"/>
    <n v="2017"/>
  </r>
  <r>
    <s v="Other: "/>
    <m/>
    <m/>
    <m/>
    <m/>
    <m/>
    <m/>
    <m/>
    <m/>
    <m/>
    <m/>
    <m/>
    <m/>
    <n v="0"/>
    <x v="6"/>
    <n v="2017"/>
  </r>
  <r>
    <m/>
    <m/>
    <m/>
    <m/>
    <m/>
    <m/>
    <m/>
    <m/>
    <m/>
    <m/>
    <m/>
    <m/>
    <m/>
    <n v="0"/>
    <x v="7"/>
    <n v="2017"/>
  </r>
  <r>
    <m/>
    <m/>
    <m/>
    <m/>
    <m/>
    <m/>
    <m/>
    <m/>
    <m/>
    <m/>
    <m/>
    <m/>
    <m/>
    <n v="0"/>
    <x v="7"/>
    <n v="20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5" minRefreshableVersion="3" useAutoFormatting="1" rowGrandTotals="0" colGrandTotals="0" itemPrintTitles="1" createdVersion="5" indent="0" outline="1" outlineData="1" multipleFieldFilters="0" rowHeaderCaption="Achieved Milestones">
  <location ref="C1:C2"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0"/>
        <item m="1" x="2"/>
        <item m="1" x="1"/>
        <item t="default"/>
      </items>
    </pivotField>
  </pivotFields>
  <rowFields count="1">
    <field x="28"/>
  </rowFields>
  <rowItems count="1">
    <i>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rowGrandTotals="0" colGrandTotals="0" itemPrintTitles="1" createdVersion="5" indent="0" outline="1" outlineData="1" multipleFieldFilters="0" rowHeaderCaption="Milestones">
  <location ref="A1:A2"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defaultSubtotal="0">
      <items count="9">
        <item x="0"/>
        <item m="1" x="3"/>
        <item m="1" x="4"/>
        <item m="1" x="2"/>
        <item m="1" x="5"/>
        <item m="1" x="1"/>
        <item m="1" x="6"/>
        <item m="1" x="7"/>
        <item m="1" x="8"/>
      </items>
    </pivotField>
    <pivotField showAll="0" defaultSubtotal="0"/>
  </pivotFields>
  <rowFields count="1">
    <field x="27"/>
  </rowFields>
  <rowItems count="1">
    <i>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5" minRefreshableVersion="3" useAutoFormatting="1" rowGrandTotals="0" colGrandTotals="0" itemPrintTitles="1" createdVersion="5" indent="0" outline="1" outlineData="1" multipleFieldFilters="0" rowHeaderCaption="Expense">
  <location ref="E1:R9" firstHeaderRow="0" firstDataRow="1" firstDataCol="1"/>
  <pivotFields count="17">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numFmtId="164" showAll="0"/>
    <pivotField axis="axisRow" showAll="0" defaultSubtotal="0">
      <items count="15">
        <item x="7"/>
        <item m="1" x="10"/>
        <item m="1" x="11"/>
        <item m="1" x="9"/>
        <item m="1" x="8"/>
        <item m="1" x="14"/>
        <item m="1" x="12"/>
        <item m="1" x="13"/>
        <item x="0"/>
        <item x="1"/>
        <item x="2"/>
        <item x="3"/>
        <item x="4"/>
        <item x="5"/>
        <item x="6"/>
      </items>
    </pivotField>
    <pivotField dataField="1" numFmtId="165" showAll="0" defaultSubtotal="0"/>
    <pivotField dragToRow="0" dragToCol="0" dragToPage="0" showAll="0" defaultSubtotal="0"/>
  </pivotFields>
  <rowFields count="1">
    <field x="14"/>
  </rowFields>
  <rowItems count="8">
    <i>
      <x/>
    </i>
    <i>
      <x v="8"/>
    </i>
    <i>
      <x v="9"/>
    </i>
    <i>
      <x v="10"/>
    </i>
    <i>
      <x v="11"/>
    </i>
    <i>
      <x v="12"/>
    </i>
    <i>
      <x v="13"/>
    </i>
    <i>
      <x v="14"/>
    </i>
  </rowItems>
  <colFields count="1">
    <field x="-2"/>
  </colFields>
  <colItems count="13">
    <i>
      <x/>
    </i>
    <i i="1">
      <x v="1"/>
    </i>
    <i i="2">
      <x v="2"/>
    </i>
    <i i="3">
      <x v="3"/>
    </i>
    <i i="4">
      <x v="4"/>
    </i>
    <i i="5">
      <x v="5"/>
    </i>
    <i i="6">
      <x v="6"/>
    </i>
    <i i="7">
      <x v="7"/>
    </i>
    <i i="8">
      <x v="8"/>
    </i>
    <i i="9">
      <x v="9"/>
    </i>
    <i i="10">
      <x v="10"/>
    </i>
    <i i="11">
      <x v="11"/>
    </i>
    <i i="12">
      <x v="12"/>
    </i>
  </colItems>
  <dataFields count="13">
    <dataField name="Sum of Year of Import" fld="15" baseField="0" baseItem="0"/>
    <dataField name="Sum of Y1Q1" fld="1" baseField="0" baseItem="0"/>
    <dataField name="Sum of Y1Q2" fld="2" baseField="0" baseItem="1"/>
    <dataField name="Sum of Y1Q3" fld="3" baseField="0" baseItem="1"/>
    <dataField name="Sum of Y1Q4" fld="4" baseField="0" baseItem="1"/>
    <dataField name="Sum of Y2Q1" fld="5" baseField="0" baseItem="1"/>
    <dataField name="Sum of Y2Q2" fld="6" baseField="0" baseItem="1"/>
    <dataField name="Sum of Y2Q3" fld="7" baseField="0" baseItem="1"/>
    <dataField name="Sum of Y2Q4" fld="8" baseField="0" baseItem="1"/>
    <dataField name="Sum of Y3Q1" fld="9" baseField="0" baseItem="1"/>
    <dataField name="Sum of Y3Q2" fld="10" baseField="0" baseItem="1"/>
    <dataField name="Sum of Y3Q3" fld="11" baseField="0" baseItem="1"/>
    <dataField name="Sum of Y3Q4" fld="12"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Budget" displayName="Budget" ref="B15:Q29" totalsRowCount="1" headerRowDxfId="82" dataDxfId="80" totalsRowDxfId="78" headerRowBorderDxfId="81" tableBorderDxfId="79">
  <autoFilter ref="B15:Q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6">
    <tableColumn id="1" name="Category (Itemize as necessary)" totalsRowLabel="Total" totalsRowDxfId="77"/>
    <tableColumn id="2" name="Y1Q1_x000a_(Apr – Jun)" totalsRowFunction="sum" dataDxfId="76" totalsRowDxfId="75" dataCellStyle="Currency"/>
    <tableColumn id="3" name="Y1Q2_x000a_(Jul – Sep)" totalsRowFunction="sum" dataDxfId="74" totalsRowDxfId="73" dataCellStyle="Currency"/>
    <tableColumn id="4" name="Y1Q3_x000a_(Oct – Dec)" totalsRowFunction="sum" dataDxfId="72" totalsRowDxfId="71" dataCellStyle="Currency"/>
    <tableColumn id="5" name="Y1Q4_x000a_(Jan – Mar) " totalsRowFunction="sum" dataDxfId="70" totalsRowDxfId="69" dataCellStyle="Currency"/>
    <tableColumn id="6" name="Y2Q1_x000a_(Apr – Jun)" totalsRowFunction="sum" dataDxfId="68" totalsRowDxfId="67" dataCellStyle="Currency"/>
    <tableColumn id="7" name="Y2Q2_x000a_(Jul – Sep)" totalsRowFunction="sum" dataDxfId="66" totalsRowDxfId="65" dataCellStyle="Currency"/>
    <tableColumn id="8" name="Y2Q3_x000a_(Oct – Dec)" totalsRowFunction="sum" dataDxfId="64" totalsRowDxfId="63" dataCellStyle="Currency"/>
    <tableColumn id="9" name="Y2Q4_x000a_(Jan – Mar) " totalsRowFunction="sum" dataDxfId="62" totalsRowDxfId="61" dataCellStyle="Currency"/>
    <tableColumn id="10" name="Y3Q1_x000a_(Apr – Jun)" totalsRowFunction="sum" dataDxfId="60" totalsRowDxfId="59" dataCellStyle="Currency"/>
    <tableColumn id="11" name="Y3Q2_x000a_(Jul – Sep)" totalsRowFunction="sum" dataDxfId="58" totalsRowDxfId="57" dataCellStyle="Currency"/>
    <tableColumn id="12" name="Y3Q3_x000a_(Oct – Dec)" totalsRowFunction="sum" dataDxfId="56" totalsRowDxfId="55" dataCellStyle="Currency"/>
    <tableColumn id="13" name="Y3Q4_x000a_(Jan – Mar)" totalsRowFunction="sum" dataDxfId="54" totalsRowDxfId="53" dataCellStyle="Currency"/>
    <tableColumn id="14" name="Project Total" totalsRowFunction="sum" dataDxfId="52" totalsRowDxfId="51" dataCellStyle="Currency">
      <calculatedColumnFormula>SUM(Budget[[#This Row],[Y1Q1
(Apr – Jun)]:[Y3Q4
(Jan – Mar)]])</calculatedColumnFormula>
    </tableColumn>
    <tableColumn id="15" name="Name****Category" dataDxfId="50" totalsRowDxfId="49" dataCellStyle="Currency">
      <calculatedColumnFormula>IF(Budget[[#This Row],[Category (Itemize as necessary)]]&lt;&gt;"",$C$7&amp;"****"&amp;Budget[[#This Row],[Category (Itemize as necessary)]],"")</calculatedColumnFormula>
    </tableColumn>
    <tableColumn id="16" name="Year of Import" dataDxfId="48" totalsRowDxfId="47" dataCellStyle="Comma">
      <calculatedColumnFormula>$Q$7</calculatedColumnFormula>
    </tableColumn>
  </tableColumns>
  <tableStyleInfo name="TableStyleLight21" showFirstColumn="0" showLastColumn="0" showRowStripes="1" showColumnStripes="0"/>
</table>
</file>

<file path=xl/tables/table2.xml><?xml version="1.0" encoding="utf-8"?>
<table xmlns="http://schemas.openxmlformats.org/spreadsheetml/2006/main" id="5" name="Milestones6" displayName="Milestones6" ref="B11:AD22" headerRowDxfId="42" dataDxfId="40" totalsRowDxfId="38" headerRowBorderDxfId="41" tableBorderDxfId="39" totalsRowBorderDxfId="37">
  <autoFilter ref="B11:AD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9">
    <tableColumn id="1" name="Major Milestones or Deliverables" totalsRowLabel="Total" dataDxfId="36" totalsRowDxfId="35"/>
    <tableColumn id="2" name="Y1Q1_x000a_(Apr – Jun)" dataDxfId="34"/>
    <tableColumn id="3" name="Y1Q1_x000a_Achieved" dataDxfId="33"/>
    <tableColumn id="4" name="Y1Q2_x000a_(Jul – Sep)" dataDxfId="32"/>
    <tableColumn id="5" name="Y1Q2_x000a_Achieved" dataDxfId="31"/>
    <tableColumn id="6" name="Y1Q3_x000a_(Oct – Dec)" dataDxfId="30"/>
    <tableColumn id="7" name="Y1Q3_x000a_Achieved" dataDxfId="29"/>
    <tableColumn id="8" name="Y1Q4_x000a_(Jan – Mar) " dataDxfId="28"/>
    <tableColumn id="9" name="Y1Q4_x000a_Achieved" dataDxfId="27"/>
    <tableColumn id="10" name="Y2Q1_x000a_(Apr – Jun)" dataDxfId="26"/>
    <tableColumn id="11" name="Y2Q1_x000a_Achieved" dataDxfId="25"/>
    <tableColumn id="12" name="Y2Q2_x000a_(Jul – Sep)" dataDxfId="24"/>
    <tableColumn id="13" name="Y2Q2_x000a_Achieved" dataDxfId="23"/>
    <tableColumn id="14" name="Y2Q3_x000a_(Oct – Dec)" dataDxfId="22"/>
    <tableColumn id="15" name="Y2Q3_x000a_Achieved" dataDxfId="21"/>
    <tableColumn id="16" name="Y2Q4_x000a_(Jan – Mar) " dataDxfId="20"/>
    <tableColumn id="17" name="Y2Q4_x000a_Achieved" dataDxfId="19"/>
    <tableColumn id="18" name="Y3Q1_x000a_(Apr – Jun)" dataDxfId="18"/>
    <tableColumn id="19" name="Y3Q1_x000a_Achieved" dataDxfId="17"/>
    <tableColumn id="20" name="Y3Q2_x000a_(Jul – Sep)" dataDxfId="16"/>
    <tableColumn id="21" name="Y3Q2_x000a_Achieved" dataDxfId="15"/>
    <tableColumn id="22" name="Y3Q3_x000a_(Oct – Dec)" dataDxfId="14"/>
    <tableColumn id="23" name="Y3Q3_x000a_Achieved" dataDxfId="13"/>
    <tableColumn id="24" name="Y3Q4_x000a_(Jan – Mar)" dataDxfId="12"/>
    <tableColumn id="25" name="Y3Q4_x000a_Achieved" totalsRowFunction="count" dataDxfId="11"/>
    <tableColumn id="26" name="Year and Period of Milestone" dataDxfId="10" totalsRowDxfId="9">
      <calculatedColumnFormula>LEFT(_xlfn.IFNA(INDEX(Milestones6[[#Headers],[Y1Q1
(Apr – Jun)]:[Y3Q4
Achieved]],,MATCH("x",Milestones6[[#This Row],[Y1Q1
(Apr – Jun)]:[Y3Q4
Achieved]],0)),""),4)</calculatedColumnFormula>
    </tableColumn>
    <tableColumn id="27" name="Year and Period achieved" dataDxfId="8" totalsRowDxfId="7">
      <calculatedColumnFormula>LEFT(_xlfn.IFNA(INDEX(Milestones6[[#Headers],[Y1Q1
(Apr – Jun)]:[Y3Q4
Achieved]],,MATCH("A",Milestones6[[#This Row],[Y1Q1
(Apr – Jun)]:[Y3Q4
Achieved]],0)-1),""),4)</calculatedColumnFormula>
    </tableColumn>
    <tableColumn id="28" name="Milestone Import String" dataDxfId="6" totalsRowDxfId="5">
      <calculatedColumnFormula>IF(Milestones6[[#This Row],[Year and Period of Milestone]]&lt;&gt;"",'Budget Request'!$C$7&amp;"^^^^"&amp;Milestones6[[#This Row],[Major Milestones or Deliverables]]&amp;"****DATE:####"&amp;'Budget Request'!$Q$7+MID(Milestones6[[#This Row],[Year and Period of Milestone]],2,1)&amp;RIGHT(Milestones6[[#This Row],[Year and Period of Milestone]],2),"")</calculatedColumnFormula>
    </tableColumn>
    <tableColumn id="29" name="Achieved Import String" dataDxfId="4" totalsRowDxfId="3">
      <calculatedColumnFormula>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abSelected="1" zoomScaleNormal="100" workbookViewId="0">
      <selection activeCell="M8" sqref="M8"/>
    </sheetView>
  </sheetViews>
  <sheetFormatPr defaultColWidth="9.140625" defaultRowHeight="15" x14ac:dyDescent="0.25"/>
  <cols>
    <col min="1" max="1" width="9.140625" style="7"/>
    <col min="2" max="2" width="36.5703125" style="7" customWidth="1"/>
    <col min="3" max="14" width="13.7109375" style="7" customWidth="1"/>
    <col min="15" max="15" width="29.5703125" style="7" customWidth="1"/>
    <col min="16" max="16" width="32.42578125" style="7" hidden="1" customWidth="1"/>
    <col min="17" max="17" width="10.140625" style="7" hidden="1" customWidth="1"/>
    <col min="18" max="18" width="9.140625" style="7"/>
    <col min="19" max="19" width="12.42578125" style="7" customWidth="1"/>
    <col min="20" max="16384" width="9.140625" style="7"/>
  </cols>
  <sheetData>
    <row r="1" spans="1:21" ht="15.75" thickBot="1" x14ac:dyDescent="0.3"/>
    <row r="2" spans="1:21" ht="21.75" customHeight="1" x14ac:dyDescent="0.25">
      <c r="B2" s="144" t="s">
        <v>114</v>
      </c>
      <c r="C2" s="145"/>
      <c r="D2" s="145"/>
      <c r="E2" s="145"/>
      <c r="F2" s="145"/>
      <c r="G2" s="145"/>
      <c r="H2" s="145"/>
      <c r="I2" s="145"/>
      <c r="J2" s="145"/>
      <c r="K2" s="145"/>
      <c r="L2" s="145"/>
      <c r="M2" s="145"/>
      <c r="N2" s="145"/>
      <c r="O2" s="146"/>
      <c r="P2"/>
      <c r="Q2"/>
      <c r="R2"/>
      <c r="S2"/>
    </row>
    <row r="3" spans="1:21" ht="21.75" customHeight="1" x14ac:dyDescent="0.25">
      <c r="B3" s="147"/>
      <c r="C3" s="148"/>
      <c r="D3" s="148"/>
      <c r="E3" s="148"/>
      <c r="F3" s="148"/>
      <c r="G3" s="148"/>
      <c r="H3" s="148"/>
      <c r="I3" s="148"/>
      <c r="J3" s="148"/>
      <c r="K3" s="148"/>
      <c r="L3" s="148"/>
      <c r="M3" s="148"/>
      <c r="N3" s="148"/>
      <c r="O3" s="149"/>
      <c r="P3"/>
      <c r="Q3"/>
      <c r="R3"/>
      <c r="S3"/>
    </row>
    <row r="4" spans="1:21" ht="21.75" customHeight="1" x14ac:dyDescent="0.25">
      <c r="B4" s="147"/>
      <c r="C4" s="148"/>
      <c r="D4" s="148"/>
      <c r="E4" s="148"/>
      <c r="F4" s="148"/>
      <c r="G4" s="148"/>
      <c r="H4" s="148"/>
      <c r="I4" s="148"/>
      <c r="J4" s="148"/>
      <c r="K4" s="148"/>
      <c r="L4" s="148"/>
      <c r="M4" s="148"/>
      <c r="N4" s="148"/>
      <c r="O4" s="149"/>
      <c r="P4"/>
      <c r="Q4"/>
      <c r="R4"/>
      <c r="S4"/>
    </row>
    <row r="5" spans="1:21" ht="21.75" customHeight="1" thickBot="1" x14ac:dyDescent="0.3">
      <c r="B5" s="150"/>
      <c r="C5" s="151"/>
      <c r="D5" s="151"/>
      <c r="E5" s="151"/>
      <c r="F5" s="151"/>
      <c r="G5" s="151"/>
      <c r="H5" s="151"/>
      <c r="I5" s="151"/>
      <c r="J5" s="151"/>
      <c r="K5" s="151"/>
      <c r="L5" s="151"/>
      <c r="M5" s="151"/>
      <c r="N5" s="151"/>
      <c r="O5" s="152"/>
      <c r="P5"/>
      <c r="Q5"/>
      <c r="R5"/>
      <c r="S5"/>
    </row>
    <row r="6" spans="1:21" ht="15.75" thickBot="1" x14ac:dyDescent="0.3"/>
    <row r="7" spans="1:21" ht="43.5" customHeight="1" thickBot="1" x14ac:dyDescent="0.3">
      <c r="B7" s="62" t="s">
        <v>58</v>
      </c>
      <c r="C7" s="124"/>
      <c r="D7" s="125"/>
      <c r="E7" s="126"/>
      <c r="F7" s="62" t="s">
        <v>69</v>
      </c>
      <c r="G7" s="75">
        <v>43922</v>
      </c>
      <c r="H7" s="136"/>
      <c r="I7" s="137"/>
      <c r="J7" s="138"/>
      <c r="K7"/>
      <c r="L7"/>
      <c r="M7"/>
      <c r="N7"/>
      <c r="O7"/>
      <c r="P7" s="76" t="s">
        <v>57</v>
      </c>
      <c r="Q7" s="77">
        <f>IF(MONTH(G7)&lt;=3,YEAR(G7)-1,YEAR(G7))</f>
        <v>2020</v>
      </c>
      <c r="R7"/>
      <c r="S7"/>
    </row>
    <row r="8" spans="1:21" ht="27.75" customHeight="1" thickBot="1" x14ac:dyDescent="0.3">
      <c r="B8" s="129" t="s">
        <v>72</v>
      </c>
      <c r="C8" s="131" t="str">
        <f>"FISCAL YEAR "&amp;Q7&amp;"/"&amp;Q7+1</f>
        <v>FISCAL YEAR 2020/2021</v>
      </c>
      <c r="D8" s="132"/>
      <c r="E8" s="131" t="str">
        <f>"FISCAL YEAR "&amp;Q7+1&amp;"/"&amp;Q7+2</f>
        <v>FISCAL YEAR 2021/2022</v>
      </c>
      <c r="F8" s="132"/>
      <c r="G8" s="131" t="str">
        <f>"FISCAL YEAR "&amp;Q7+2&amp;"/"&amp;Q7+3</f>
        <v>FISCAL YEAR 2022/2023</v>
      </c>
      <c r="H8" s="133"/>
      <c r="I8" s="131" t="s">
        <v>73</v>
      </c>
      <c r="J8" s="132"/>
      <c r="K8"/>
      <c r="M8"/>
      <c r="N8"/>
      <c r="O8"/>
      <c r="P8"/>
      <c r="Q8"/>
      <c r="R8"/>
      <c r="S8"/>
    </row>
    <row r="9" spans="1:21" ht="30.75" customHeight="1" thickBot="1" x14ac:dyDescent="0.3">
      <c r="B9" s="130"/>
      <c r="C9" s="139">
        <f>SUM(Budget[[#Totals],[Y1Q1
(Apr – Jun)]:[Y1Q4
(Jan – Mar) ]])</f>
        <v>0</v>
      </c>
      <c r="D9" s="140"/>
      <c r="E9" s="139">
        <f>SUM(Budget[[#Totals],[Y2Q1
(Apr – Jun)]:[Y2Q4
(Jan – Mar) ]])</f>
        <v>0</v>
      </c>
      <c r="F9" s="140"/>
      <c r="G9" s="139">
        <f>SUM(Budget[[#Totals],[Y3Q1
(Apr – Jun)]:[Y3Q4
(Jan – Mar)]])</f>
        <v>0</v>
      </c>
      <c r="H9" s="140"/>
      <c r="I9" s="134">
        <f>C9+E9+G9</f>
        <v>0</v>
      </c>
      <c r="J9" s="135"/>
      <c r="K9"/>
      <c r="L9"/>
      <c r="M9"/>
      <c r="N9"/>
      <c r="O9"/>
      <c r="P9"/>
      <c r="Q9"/>
      <c r="R9"/>
      <c r="S9"/>
    </row>
    <row r="10" spans="1:21" s="74" customFormat="1" ht="109.5" customHeight="1" thickBot="1" x14ac:dyDescent="0.3">
      <c r="B10" s="62" t="s">
        <v>107</v>
      </c>
      <c r="C10" s="141"/>
      <c r="D10" s="142"/>
      <c r="E10" s="142"/>
      <c r="F10" s="142"/>
      <c r="G10" s="142"/>
      <c r="H10" s="142"/>
      <c r="I10" s="142"/>
      <c r="J10" s="143"/>
      <c r="K10"/>
      <c r="L10"/>
      <c r="M10"/>
      <c r="N10"/>
      <c r="O10"/>
      <c r="P10"/>
      <c r="Q10"/>
      <c r="R10"/>
      <c r="S10"/>
    </row>
    <row r="11" spans="1:21" ht="15.75" thickBot="1" x14ac:dyDescent="0.3">
      <c r="B11"/>
      <c r="C11"/>
      <c r="D11"/>
      <c r="E11"/>
      <c r="F11"/>
      <c r="G11"/>
      <c r="H11"/>
      <c r="I11"/>
      <c r="J11"/>
      <c r="K11"/>
      <c r="L11"/>
      <c r="M11"/>
      <c r="N11"/>
      <c r="O11"/>
    </row>
    <row r="12" spans="1:21" ht="15.75" hidden="1" thickBot="1" x14ac:dyDescent="0.3">
      <c r="C12" s="7" t="b">
        <f>IF(OR(MONTH($G$7)={10,11,12,1,2,3,7,8,9}),TRUE,FALSE)</f>
        <v>0</v>
      </c>
      <c r="D12" s="7" t="b">
        <f>IF(OR(MONTH($G$7)={10,11,12,1,2,3}),TRUE,FALSE)</f>
        <v>0</v>
      </c>
      <c r="E12" s="7" t="b">
        <f>IF(OR(MONTH($G$7)={1,2,3}),TRUE,FALSE)</f>
        <v>0</v>
      </c>
      <c r="F12" s="7" t="b">
        <v>0</v>
      </c>
      <c r="G12" s="7" t="b">
        <v>0</v>
      </c>
      <c r="H12" s="7" t="b">
        <v>0</v>
      </c>
      <c r="I12" s="7" t="b">
        <v>0</v>
      </c>
      <c r="J12" s="7" t="b">
        <v>0</v>
      </c>
      <c r="K12" s="7" t="b">
        <v>0</v>
      </c>
      <c r="L12" s="7" t="b">
        <v>0</v>
      </c>
      <c r="M12" s="7" t="b">
        <v>0</v>
      </c>
      <c r="N12" s="7" t="b">
        <v>0</v>
      </c>
    </row>
    <row r="13" spans="1:21" ht="43.5" customHeight="1" thickBot="1" x14ac:dyDescent="0.3">
      <c r="B13" s="121" t="s">
        <v>74</v>
      </c>
      <c r="C13" s="122"/>
      <c r="D13" s="122"/>
      <c r="E13" s="122"/>
      <c r="F13" s="122"/>
      <c r="G13" s="122"/>
      <c r="H13" s="122"/>
      <c r="I13" s="122"/>
      <c r="J13" s="122"/>
      <c r="K13" s="122"/>
      <c r="L13" s="122"/>
      <c r="M13" s="122"/>
      <c r="N13" s="122"/>
      <c r="O13" s="123"/>
    </row>
    <row r="14" spans="1:21" ht="15.75" thickBot="1" x14ac:dyDescent="0.3">
      <c r="B14" s="60"/>
      <c r="C14" s="127" t="str">
        <f>C8</f>
        <v>FISCAL YEAR 2020/2021</v>
      </c>
      <c r="D14" s="127"/>
      <c r="E14" s="127"/>
      <c r="F14" s="128"/>
      <c r="G14" s="127" t="str">
        <f>E8</f>
        <v>FISCAL YEAR 2021/2022</v>
      </c>
      <c r="H14" s="127"/>
      <c r="I14" s="127"/>
      <c r="J14" s="128"/>
      <c r="K14" s="127" t="str">
        <f>G8</f>
        <v>FISCAL YEAR 2022/2023</v>
      </c>
      <c r="L14" s="127"/>
      <c r="M14" s="127"/>
      <c r="N14" s="128"/>
      <c r="O14" s="63"/>
    </row>
    <row r="15" spans="1:21" ht="39" customHeight="1" thickBot="1" x14ac:dyDescent="0.3">
      <c r="B15" s="61" t="s">
        <v>71</v>
      </c>
      <c r="C15" s="65" t="s">
        <v>77</v>
      </c>
      <c r="D15" s="65" t="s">
        <v>78</v>
      </c>
      <c r="E15" s="65" t="s">
        <v>79</v>
      </c>
      <c r="F15" s="65" t="s">
        <v>80</v>
      </c>
      <c r="G15" s="65" t="s">
        <v>81</v>
      </c>
      <c r="H15" s="65" t="s">
        <v>82</v>
      </c>
      <c r="I15" s="65" t="s">
        <v>83</v>
      </c>
      <c r="J15" s="65" t="s">
        <v>84</v>
      </c>
      <c r="K15" s="65" t="s">
        <v>85</v>
      </c>
      <c r="L15" s="65" t="s">
        <v>86</v>
      </c>
      <c r="M15" s="65" t="s">
        <v>87</v>
      </c>
      <c r="N15" s="65" t="s">
        <v>88</v>
      </c>
      <c r="O15" s="64" t="s">
        <v>4</v>
      </c>
      <c r="P15" s="54" t="s">
        <v>59</v>
      </c>
      <c r="Q15" s="58" t="s">
        <v>60</v>
      </c>
      <c r="U15" s="53"/>
    </row>
    <row r="16" spans="1:21" s="3" customFormat="1" ht="15.75" customHeight="1" thickBot="1" x14ac:dyDescent="0.3">
      <c r="A16" s="119" t="s">
        <v>19</v>
      </c>
      <c r="B16" s="22" t="s">
        <v>27</v>
      </c>
      <c r="C16" s="25"/>
      <c r="D16" s="25"/>
      <c r="E16" s="25"/>
      <c r="F16" s="25"/>
      <c r="G16" s="25"/>
      <c r="H16" s="25"/>
      <c r="I16" s="25"/>
      <c r="J16" s="25"/>
      <c r="K16" s="25"/>
      <c r="L16" s="25"/>
      <c r="M16" s="25"/>
      <c r="N16" s="25"/>
      <c r="O16" s="26">
        <f>SUM(Budget[[#This Row],[Y1Q1
(Apr – Jun)]:[Y3Q4
(Jan – Mar)]])</f>
        <v>0</v>
      </c>
      <c r="P16" s="55" t="str">
        <f>IF(Budget[[#This Row],[Category (Itemize as necessary)]]&lt;&gt;"",$C$7&amp;"****"&amp;Budget[[#This Row],[Category (Itemize as necessary)]],"")</f>
        <v>****Salaries and Wages</v>
      </c>
      <c r="Q16" s="59">
        <f t="shared" ref="Q16:Q27" si="0">$Q$7</f>
        <v>2020</v>
      </c>
    </row>
    <row r="17" spans="1:17" s="3" customFormat="1" ht="15.75" thickBot="1" x14ac:dyDescent="0.3">
      <c r="A17" s="120"/>
      <c r="B17" s="22" t="s">
        <v>31</v>
      </c>
      <c r="C17" s="25"/>
      <c r="D17" s="25"/>
      <c r="E17" s="25"/>
      <c r="F17" s="25"/>
      <c r="G17" s="25"/>
      <c r="H17" s="25"/>
      <c r="I17" s="25"/>
      <c r="J17" s="25"/>
      <c r="K17" s="25"/>
      <c r="L17" s="25"/>
      <c r="M17" s="25"/>
      <c r="N17" s="25"/>
      <c r="O17" s="26">
        <f>SUM(Budget[[#This Row],[Y1Q1
(Apr – Jun)]:[Y3Q4
(Jan – Mar)]])</f>
        <v>0</v>
      </c>
      <c r="P17" s="55" t="str">
        <f>IF(Budget[[#This Row],[Category (Itemize as necessary)]]&lt;&gt;"",$C$7&amp;"****"&amp;Budget[[#This Row],[Category (Itemize as necessary)]],"")</f>
        <v>****Benefits (25% of S&amp;W)</v>
      </c>
      <c r="Q17" s="59">
        <f t="shared" si="0"/>
        <v>2020</v>
      </c>
    </row>
    <row r="18" spans="1:17" s="3" customFormat="1" ht="15.75" thickBot="1" x14ac:dyDescent="0.3">
      <c r="A18" s="120"/>
      <c r="B18" s="22" t="s">
        <v>28</v>
      </c>
      <c r="C18" s="25"/>
      <c r="D18" s="89"/>
      <c r="E18" s="89"/>
      <c r="F18" s="89"/>
      <c r="G18" s="25"/>
      <c r="H18" s="25"/>
      <c r="I18" s="25"/>
      <c r="J18" s="25"/>
      <c r="K18" s="25"/>
      <c r="L18" s="25"/>
      <c r="M18" s="25"/>
      <c r="N18" s="25"/>
      <c r="O18" s="26">
        <f>SUM(Budget[[#This Row],[Y1Q1
(Apr – Jun)]:[Y3Q4
(Jan – Mar)]])</f>
        <v>0</v>
      </c>
      <c r="P18" s="55" t="str">
        <f>IF(Budget[[#This Row],[Category (Itemize as necessary)]]&lt;&gt;"",$C$7&amp;"****"&amp;Budget[[#This Row],[Category (Itemize as necessary)]],"")</f>
        <v>****Materials/Equipment</v>
      </c>
      <c r="Q18" s="59">
        <f t="shared" si="0"/>
        <v>2020</v>
      </c>
    </row>
    <row r="19" spans="1:17" s="3" customFormat="1" ht="15.75" thickBot="1" x14ac:dyDescent="0.3">
      <c r="A19" s="120"/>
      <c r="B19" s="22" t="s">
        <v>29</v>
      </c>
      <c r="C19" s="25"/>
      <c r="D19" s="89"/>
      <c r="E19" s="89"/>
      <c r="F19" s="89"/>
      <c r="G19" s="25"/>
      <c r="H19" s="25"/>
      <c r="I19" s="25"/>
      <c r="J19" s="25"/>
      <c r="K19" s="25"/>
      <c r="L19" s="25"/>
      <c r="M19" s="25"/>
      <c r="N19" s="25"/>
      <c r="O19" s="26">
        <f>SUM(Budget[[#This Row],[Y1Q1
(Apr – Jun)]:[Y3Q4
(Jan – Mar)]])</f>
        <v>0</v>
      </c>
      <c r="P19" s="55" t="str">
        <f>IF(Budget[[#This Row],[Category (Itemize as necessary)]]&lt;&gt;"",$C$7&amp;"****"&amp;Budget[[#This Row],[Category (Itemize as necessary)]],"")</f>
        <v>****Office Space/Facilities</v>
      </c>
      <c r="Q19" s="59">
        <f t="shared" si="0"/>
        <v>2020</v>
      </c>
    </row>
    <row r="20" spans="1:17" s="3" customFormat="1" ht="15.75" thickBot="1" x14ac:dyDescent="0.3">
      <c r="A20" s="120"/>
      <c r="B20" s="22" t="s">
        <v>5</v>
      </c>
      <c r="C20" s="25"/>
      <c r="D20" s="89"/>
      <c r="E20" s="89"/>
      <c r="F20" s="89"/>
      <c r="G20" s="25"/>
      <c r="H20" s="25"/>
      <c r="I20" s="25"/>
      <c r="J20" s="25"/>
      <c r="K20" s="25"/>
      <c r="L20" s="25"/>
      <c r="M20" s="25"/>
      <c r="N20" s="25"/>
      <c r="O20" s="26">
        <f>SUM(Budget[[#This Row],[Y1Q1
(Apr – Jun)]:[Y3Q4
(Jan – Mar)]])</f>
        <v>0</v>
      </c>
      <c r="P20" s="55" t="str">
        <f>IF(Budget[[#This Row],[Category (Itemize as necessary)]]&lt;&gt;"",$C$7&amp;"****"&amp;Budget[[#This Row],[Category (Itemize as necessary)]],"")</f>
        <v>****Training/Development</v>
      </c>
      <c r="Q20" s="59">
        <f t="shared" si="0"/>
        <v>2020</v>
      </c>
    </row>
    <row r="21" spans="1:17" s="3" customFormat="1" ht="15.75" thickBot="1" x14ac:dyDescent="0.3">
      <c r="A21" s="120"/>
      <c r="B21" s="22" t="s">
        <v>30</v>
      </c>
      <c r="C21" s="25"/>
      <c r="D21" s="89"/>
      <c r="E21" s="89"/>
      <c r="F21" s="89"/>
      <c r="G21" s="25"/>
      <c r="H21" s="25"/>
      <c r="I21" s="25"/>
      <c r="J21" s="25"/>
      <c r="K21" s="25"/>
      <c r="L21" s="25"/>
      <c r="M21" s="25"/>
      <c r="N21" s="25"/>
      <c r="O21" s="26">
        <f>SUM(Budget[[#This Row],[Y1Q1
(Apr – Jun)]:[Y3Q4
(Jan – Mar)]])</f>
        <v>0</v>
      </c>
      <c r="P21" s="55" t="str">
        <f>IF(Budget[[#This Row],[Category (Itemize as necessary)]]&lt;&gt;"",$C$7&amp;"****"&amp;Budget[[#This Row],[Category (Itemize as necessary)]],"")</f>
        <v>****Consultants</v>
      </c>
      <c r="Q21" s="59">
        <f t="shared" si="0"/>
        <v>2020</v>
      </c>
    </row>
    <row r="22" spans="1:17" s="3" customFormat="1" ht="15.75" thickBot="1" x14ac:dyDescent="0.3">
      <c r="A22" s="120"/>
      <c r="B22" s="24" t="s">
        <v>32</v>
      </c>
      <c r="C22" s="25"/>
      <c r="D22" s="89"/>
      <c r="E22" s="89"/>
      <c r="F22" s="89"/>
      <c r="G22" s="25"/>
      <c r="H22" s="25"/>
      <c r="I22" s="25"/>
      <c r="J22" s="25"/>
      <c r="K22" s="25"/>
      <c r="L22" s="25"/>
      <c r="M22" s="25"/>
      <c r="N22" s="25"/>
      <c r="O22" s="26">
        <f>SUM(Budget[[#This Row],[Y1Q1
(Apr – Jun)]:[Y3Q4
(Jan – Mar)]])</f>
        <v>0</v>
      </c>
      <c r="P22" s="55" t="str">
        <f>IF(Budget[[#This Row],[Category (Itemize as necessary)]]&lt;&gt;"",$C$7&amp;"****"&amp;Budget[[#This Row],[Category (Itemize as necessary)]],"")</f>
        <v xml:space="preserve">****Other: </v>
      </c>
      <c r="Q22" s="59">
        <f t="shared" si="0"/>
        <v>2020</v>
      </c>
    </row>
    <row r="23" spans="1:17" s="3" customFormat="1" ht="15.75" thickBot="1" x14ac:dyDescent="0.3">
      <c r="A23" s="120"/>
      <c r="B23" s="90"/>
      <c r="C23" s="91"/>
      <c r="D23" s="89"/>
      <c r="E23" s="89"/>
      <c r="F23" s="89"/>
      <c r="G23" s="89"/>
      <c r="H23" s="89"/>
      <c r="I23" s="89"/>
      <c r="J23" s="89"/>
      <c r="K23" s="89"/>
      <c r="L23" s="89"/>
      <c r="M23" s="89"/>
      <c r="N23" s="92"/>
      <c r="O23" s="93">
        <f>SUM(Budget[[#This Row],[Y1Q1
(Apr – Jun)]:[Y3Q4
(Jan – Mar)]])</f>
        <v>0</v>
      </c>
      <c r="P23" s="94" t="str">
        <f>IF(Budget[[#This Row],[Category (Itemize as necessary)]]&lt;&gt;"",$C$7&amp;"****"&amp;Budget[[#This Row],[Category (Itemize as necessary)]],"")</f>
        <v/>
      </c>
      <c r="Q23" s="95">
        <f t="shared" ref="Q23:Q25" si="1">$Q$7</f>
        <v>2020</v>
      </c>
    </row>
    <row r="24" spans="1:17" s="3" customFormat="1" ht="15.75" thickBot="1" x14ac:dyDescent="0.3">
      <c r="A24" s="120"/>
      <c r="B24" s="90"/>
      <c r="C24" s="91"/>
      <c r="D24" s="89"/>
      <c r="E24" s="89"/>
      <c r="F24" s="89"/>
      <c r="G24" s="89"/>
      <c r="H24" s="89"/>
      <c r="I24" s="89"/>
      <c r="J24" s="89"/>
      <c r="K24" s="89"/>
      <c r="L24" s="89"/>
      <c r="M24" s="89"/>
      <c r="N24" s="92"/>
      <c r="O24" s="93">
        <f>SUM(Budget[[#This Row],[Y1Q1
(Apr – Jun)]:[Y3Q4
(Jan – Mar)]])</f>
        <v>0</v>
      </c>
      <c r="P24" s="94" t="str">
        <f>IF(Budget[[#This Row],[Category (Itemize as necessary)]]&lt;&gt;"",$C$7&amp;"****"&amp;Budget[[#This Row],[Category (Itemize as necessary)]],"")</f>
        <v/>
      </c>
      <c r="Q24" s="95">
        <f t="shared" si="1"/>
        <v>2020</v>
      </c>
    </row>
    <row r="25" spans="1:17" s="3" customFormat="1" ht="15.75" thickBot="1" x14ac:dyDescent="0.3">
      <c r="A25" s="120"/>
      <c r="B25" s="90"/>
      <c r="C25" s="91"/>
      <c r="D25" s="89"/>
      <c r="E25" s="89"/>
      <c r="F25" s="89"/>
      <c r="G25" s="89"/>
      <c r="H25" s="89"/>
      <c r="I25" s="89"/>
      <c r="J25" s="89"/>
      <c r="K25" s="89"/>
      <c r="L25" s="89"/>
      <c r="M25" s="89"/>
      <c r="N25" s="92"/>
      <c r="O25" s="93">
        <f>SUM(Budget[[#This Row],[Y1Q1
(Apr – Jun)]:[Y3Q4
(Jan – Mar)]])</f>
        <v>0</v>
      </c>
      <c r="P25" s="94" t="str">
        <f>IF(Budget[[#This Row],[Category (Itemize as necessary)]]&lt;&gt;"",$C$7&amp;"****"&amp;Budget[[#This Row],[Category (Itemize as necessary)]],"")</f>
        <v/>
      </c>
      <c r="Q25" s="95">
        <f t="shared" si="1"/>
        <v>2020</v>
      </c>
    </row>
    <row r="26" spans="1:17" s="3" customFormat="1" ht="15.75" thickBot="1" x14ac:dyDescent="0.3">
      <c r="A26" s="120"/>
      <c r="B26" s="22"/>
      <c r="C26" s="25"/>
      <c r="D26" s="25"/>
      <c r="E26" s="25"/>
      <c r="F26" s="25"/>
      <c r="G26" s="25"/>
      <c r="H26" s="25"/>
      <c r="I26" s="25"/>
      <c r="J26" s="25"/>
      <c r="K26" s="25"/>
      <c r="L26" s="25"/>
      <c r="M26" s="25"/>
      <c r="N26" s="25"/>
      <c r="O26" s="26">
        <f>SUM(Budget[[#This Row],[Y1Q1
(Apr – Jun)]:[Y3Q4
(Jan – Mar)]])</f>
        <v>0</v>
      </c>
      <c r="P26" s="55" t="str">
        <f>IF(Budget[[#This Row],[Category (Itemize as necessary)]]&lt;&gt;"",$C$7&amp;"****"&amp;Budget[[#This Row],[Category (Itemize as necessary)]],"")</f>
        <v/>
      </c>
      <c r="Q26" s="59">
        <f t="shared" si="0"/>
        <v>2020</v>
      </c>
    </row>
    <row r="27" spans="1:17" s="3" customFormat="1" ht="15.75" thickBot="1" x14ac:dyDescent="0.3">
      <c r="A27" s="120"/>
      <c r="B27" s="22"/>
      <c r="C27" s="25"/>
      <c r="D27" s="25"/>
      <c r="E27" s="25"/>
      <c r="F27" s="25"/>
      <c r="G27" s="25"/>
      <c r="H27" s="25"/>
      <c r="I27" s="25"/>
      <c r="J27" s="25"/>
      <c r="K27" s="25"/>
      <c r="L27" s="25"/>
      <c r="M27" s="25"/>
      <c r="N27" s="25"/>
      <c r="O27" s="26">
        <f>SUM(Budget[[#This Row],[Y1Q1
(Apr – Jun)]:[Y3Q4
(Jan – Mar)]])</f>
        <v>0</v>
      </c>
      <c r="P27" s="55" t="str">
        <f>IF(Budget[[#This Row],[Category (Itemize as necessary)]]&lt;&gt;"",$C$7&amp;"****"&amp;Budget[[#This Row],[Category (Itemize as necessary)]],"")</f>
        <v/>
      </c>
      <c r="Q27" s="59">
        <f t="shared" si="0"/>
        <v>2020</v>
      </c>
    </row>
    <row r="28" spans="1:17" s="3" customFormat="1" ht="15.75" thickBot="1" x14ac:dyDescent="0.3">
      <c r="A28" s="79"/>
      <c r="B28" s="80"/>
      <c r="C28" s="25"/>
      <c r="D28" s="27"/>
      <c r="E28" s="27"/>
      <c r="F28" s="27"/>
      <c r="G28" s="27"/>
      <c r="H28" s="27"/>
      <c r="I28" s="27"/>
      <c r="J28" s="27"/>
      <c r="K28" s="27"/>
      <c r="L28" s="27"/>
      <c r="M28" s="27"/>
      <c r="N28" s="78"/>
      <c r="O28" s="81">
        <f>SUM(Budget[[#This Row],[Y1Q1
(Apr – Jun)]:[Y3Q4
(Jan – Mar)]])</f>
        <v>0</v>
      </c>
      <c r="P28" s="82" t="str">
        <f>IF(Budget[[#This Row],[Category (Itemize as necessary)]]&lt;&gt;"",$C$7&amp;"****"&amp;Budget[[#This Row],[Category (Itemize as necessary)]],"")</f>
        <v/>
      </c>
      <c r="Q28" s="83">
        <f>$Q$7</f>
        <v>2020</v>
      </c>
    </row>
    <row r="29" spans="1:17" ht="15.75" thickBot="1" x14ac:dyDescent="0.3">
      <c r="A29" s="23"/>
      <c r="B29" s="85" t="s">
        <v>6</v>
      </c>
      <c r="C29" s="86">
        <f>SUBTOTAL(109,Budget[Y1Q1
(Apr – Jun)])</f>
        <v>0</v>
      </c>
      <c r="D29" s="86">
        <f>SUBTOTAL(109,Budget[Y1Q2
(Jul – Sep)])</f>
        <v>0</v>
      </c>
      <c r="E29" s="86">
        <f>SUBTOTAL(109,Budget[Y1Q3
(Oct – Dec)])</f>
        <v>0</v>
      </c>
      <c r="F29" s="86">
        <f>SUBTOTAL(109,Budget[Y1Q4
(Jan – Mar) ])</f>
        <v>0</v>
      </c>
      <c r="G29" s="86">
        <f>SUBTOTAL(109,Budget[Y2Q1
(Apr – Jun)])</f>
        <v>0</v>
      </c>
      <c r="H29" s="86">
        <f>SUBTOTAL(109,Budget[Y2Q2
(Jul – Sep)])</f>
        <v>0</v>
      </c>
      <c r="I29" s="86">
        <f>SUBTOTAL(109,Budget[Y2Q3
(Oct – Dec)])</f>
        <v>0</v>
      </c>
      <c r="J29" s="86">
        <f>SUBTOTAL(109,Budget[Y2Q4
(Jan – Mar) ])</f>
        <v>0</v>
      </c>
      <c r="K29" s="86">
        <f>SUBTOTAL(109,Budget[Y3Q1
(Apr – Jun)])</f>
        <v>0</v>
      </c>
      <c r="L29" s="86">
        <f>SUBTOTAL(109,Budget[Y3Q2
(Jul – Sep)])</f>
        <v>0</v>
      </c>
      <c r="M29" s="86">
        <f>SUBTOTAL(109,Budget[Y3Q3
(Oct – Dec)])</f>
        <v>0</v>
      </c>
      <c r="N29" s="86">
        <f>SUBTOTAL(109,Budget[Y3Q4
(Jan – Mar)])</f>
        <v>0</v>
      </c>
      <c r="O29" s="87">
        <f>SUBTOTAL(109,Budget[Project Total])</f>
        <v>0</v>
      </c>
      <c r="P29" s="88"/>
      <c r="Q29" s="88"/>
    </row>
    <row r="30" spans="1:17" ht="164.25" customHeight="1" thickBot="1" x14ac:dyDescent="0.3">
      <c r="A30" s="37"/>
      <c r="B30" s="116" t="s">
        <v>75</v>
      </c>
      <c r="C30" s="117"/>
      <c r="D30" s="117"/>
      <c r="E30" s="117"/>
      <c r="F30" s="118"/>
      <c r="G30" s="66"/>
      <c r="H30" s="67"/>
      <c r="I30" s="67"/>
      <c r="J30" s="67"/>
      <c r="K30" s="68"/>
      <c r="L30" s="68"/>
      <c r="M30" s="68"/>
      <c r="N30" s="68"/>
      <c r="O30" s="69"/>
    </row>
  </sheetData>
  <sheetProtection insertRows="0" deleteRows="0"/>
  <mergeCells count="19">
    <mergeCell ref="G14:J14"/>
    <mergeCell ref="C10:J10"/>
    <mergeCell ref="B2:O5"/>
    <mergeCell ref="B30:F30"/>
    <mergeCell ref="A16:A27"/>
    <mergeCell ref="B13:O13"/>
    <mergeCell ref="C7:E7"/>
    <mergeCell ref="C14:F14"/>
    <mergeCell ref="K14:N14"/>
    <mergeCell ref="B8:B9"/>
    <mergeCell ref="C8:D8"/>
    <mergeCell ref="E8:F8"/>
    <mergeCell ref="G8:H8"/>
    <mergeCell ref="I8:J8"/>
    <mergeCell ref="I9:J9"/>
    <mergeCell ref="H7:J7"/>
    <mergeCell ref="C9:D9"/>
    <mergeCell ref="E9:F9"/>
    <mergeCell ref="G9:H9"/>
  </mergeCells>
  <conditionalFormatting sqref="C16:N28">
    <cfRule type="expression" dxfId="83" priority="68">
      <formula>C$12</formula>
    </cfRule>
  </conditionalFormatting>
  <dataValidations disablePrompts="1" count="2">
    <dataValidation type="decimal" allowBlank="1" showInputMessage="1" showErrorMessage="1" errorTitle="No Negative Values" error="All expenses should be stated as positive values.  Any revenues or reduction in operating expenses should not be reflected in the budget." sqref="C16:N28">
      <formula1>0</formula1>
      <formula2>1E+44</formula2>
    </dataValidation>
    <dataValidation type="date" operator="greaterThan" showInputMessage="1" showErrorMessage="1" sqref="G7">
      <formula1>36892</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0"/>
  <sheetViews>
    <sheetView workbookViewId="0">
      <selection activeCell="E1" sqref="E1"/>
    </sheetView>
  </sheetViews>
  <sheetFormatPr defaultRowHeight="15" x14ac:dyDescent="0.25"/>
  <cols>
    <col min="1" max="1" width="13.28515625" customWidth="1"/>
    <col min="2" max="2" width="5.28515625" customWidth="1"/>
    <col min="3" max="3" width="22.28515625" customWidth="1"/>
    <col min="4" max="4" width="4.7109375" customWidth="1"/>
    <col min="5" max="5" width="25.7109375" customWidth="1"/>
    <col min="6" max="6" width="20.5703125" customWidth="1"/>
    <col min="7" max="7" width="12.140625" style="2" customWidth="1"/>
    <col min="8" max="9" width="12.140625" customWidth="1"/>
    <col min="10" max="10" width="12.140625" style="2" customWidth="1"/>
    <col min="11" max="18" width="12.140625" customWidth="1"/>
    <col min="19" max="39" width="11.7109375" customWidth="1"/>
    <col min="40" max="40" width="23.7109375" customWidth="1"/>
  </cols>
  <sheetData>
    <row r="1" spans="1:39" x14ac:dyDescent="0.25">
      <c r="A1" s="38" t="s">
        <v>41</v>
      </c>
      <c r="C1" s="38" t="s">
        <v>42</v>
      </c>
      <c r="E1" s="38" t="s">
        <v>45</v>
      </c>
      <c r="F1" s="2" t="s">
        <v>68</v>
      </c>
      <c r="G1" s="2" t="s">
        <v>44</v>
      </c>
      <c r="H1" s="2" t="s">
        <v>43</v>
      </c>
      <c r="I1" s="2" t="s">
        <v>46</v>
      </c>
      <c r="J1" s="2" t="s">
        <v>47</v>
      </c>
      <c r="K1" s="2" t="s">
        <v>49</v>
      </c>
      <c r="L1" s="2" t="s">
        <v>48</v>
      </c>
      <c r="M1" s="2" t="s">
        <v>50</v>
      </c>
      <c r="N1" s="2" t="s">
        <v>51</v>
      </c>
      <c r="O1" s="2" t="s">
        <v>52</v>
      </c>
      <c r="P1" s="2" t="s">
        <v>53</v>
      </c>
      <c r="Q1" s="2" t="s">
        <v>54</v>
      </c>
      <c r="R1" s="2" t="s">
        <v>55</v>
      </c>
      <c r="T1" s="2"/>
      <c r="W1" s="2"/>
      <c r="Z1" s="2"/>
      <c r="AC1" s="2"/>
      <c r="AF1" s="2"/>
      <c r="AI1" s="2"/>
      <c r="AL1" s="2"/>
    </row>
    <row r="2" spans="1:39" x14ac:dyDescent="0.25">
      <c r="A2" s="39"/>
      <c r="C2" s="39"/>
      <c r="E2" s="39"/>
      <c r="F2" s="40">
        <v>4034</v>
      </c>
      <c r="G2" s="40"/>
      <c r="H2" s="40"/>
      <c r="I2" s="40"/>
      <c r="J2" s="40"/>
      <c r="K2" s="40"/>
      <c r="L2" s="40"/>
      <c r="M2" s="40"/>
      <c r="N2" s="40"/>
      <c r="O2" s="40"/>
      <c r="P2" s="40"/>
      <c r="Q2" s="40"/>
      <c r="R2" s="40"/>
      <c r="T2" s="39"/>
      <c r="U2" s="40"/>
      <c r="W2" s="39"/>
      <c r="X2" s="40"/>
      <c r="Z2" s="39"/>
      <c r="AA2" s="40"/>
      <c r="AC2" s="39"/>
      <c r="AD2" s="40"/>
      <c r="AF2" s="39"/>
      <c r="AG2" s="40"/>
      <c r="AI2" s="39"/>
      <c r="AJ2" s="40"/>
      <c r="AL2" s="39"/>
      <c r="AM2" s="40"/>
    </row>
    <row r="3" spans="1:39" x14ac:dyDescent="0.25">
      <c r="E3" s="39" t="s">
        <v>61</v>
      </c>
      <c r="F3" s="40">
        <v>2017</v>
      </c>
      <c r="G3" s="40"/>
      <c r="H3" s="40">
        <v>1000000</v>
      </c>
      <c r="I3" s="40"/>
      <c r="J3" s="40"/>
      <c r="K3" s="40"/>
      <c r="L3" s="40"/>
      <c r="M3" s="40"/>
      <c r="N3" s="40"/>
      <c r="O3" s="40"/>
      <c r="P3" s="40"/>
      <c r="Q3" s="40"/>
      <c r="R3" s="40"/>
      <c r="T3" s="39"/>
      <c r="U3" s="40"/>
      <c r="W3" s="39"/>
      <c r="X3" s="40"/>
      <c r="Z3" s="39"/>
      <c r="AA3" s="40"/>
      <c r="AC3" s="39"/>
      <c r="AD3" s="40"/>
      <c r="AF3" s="39"/>
      <c r="AG3" s="40"/>
      <c r="AI3" s="39"/>
      <c r="AJ3" s="40"/>
      <c r="AL3" s="39"/>
      <c r="AM3" s="40"/>
    </row>
    <row r="4" spans="1:39" x14ac:dyDescent="0.25">
      <c r="E4" s="39" t="s">
        <v>62</v>
      </c>
      <c r="F4" s="40">
        <v>2017</v>
      </c>
      <c r="G4" s="40"/>
      <c r="H4" s="40"/>
      <c r="I4" s="40"/>
      <c r="J4" s="40"/>
      <c r="K4" s="40"/>
      <c r="L4" s="40"/>
      <c r="M4" s="40"/>
      <c r="N4" s="40"/>
      <c r="O4" s="40"/>
      <c r="P4" s="40"/>
      <c r="Q4" s="40"/>
      <c r="R4" s="40"/>
      <c r="T4" s="39"/>
      <c r="U4" s="40"/>
      <c r="W4" s="39"/>
      <c r="X4" s="40"/>
      <c r="Z4" s="39"/>
      <c r="AA4" s="40"/>
      <c r="AC4" s="39"/>
      <c r="AD4" s="40"/>
      <c r="AF4" s="39"/>
      <c r="AG4" s="40"/>
      <c r="AI4" s="39"/>
      <c r="AJ4" s="40"/>
      <c r="AL4" s="39"/>
      <c r="AM4" s="40"/>
    </row>
    <row r="5" spans="1:39" x14ac:dyDescent="0.25">
      <c r="E5" s="39" t="s">
        <v>63</v>
      </c>
      <c r="F5" s="40">
        <v>2017</v>
      </c>
      <c r="G5" s="40"/>
      <c r="H5" s="40"/>
      <c r="I5" s="40"/>
      <c r="J5" s="40"/>
      <c r="K5" s="40"/>
      <c r="L5" s="40"/>
      <c r="M5" s="40"/>
      <c r="N5" s="40"/>
      <c r="O5" s="40"/>
      <c r="P5" s="40"/>
      <c r="Q5" s="40"/>
      <c r="R5" s="40"/>
      <c r="T5" s="39"/>
      <c r="U5" s="40"/>
      <c r="W5" s="39"/>
      <c r="X5" s="40"/>
      <c r="Z5" s="39"/>
      <c r="AA5" s="40"/>
      <c r="AC5" s="39"/>
      <c r="AD5" s="40"/>
      <c r="AF5" s="39"/>
      <c r="AG5" s="40"/>
      <c r="AI5" s="39"/>
      <c r="AJ5" s="40"/>
      <c r="AL5" s="39"/>
      <c r="AM5" s="40"/>
    </row>
    <row r="6" spans="1:39" x14ac:dyDescent="0.25">
      <c r="E6" s="39" t="s">
        <v>64</v>
      </c>
      <c r="F6" s="40">
        <v>2017</v>
      </c>
      <c r="G6" s="40"/>
      <c r="H6" s="40"/>
      <c r="I6" s="40"/>
      <c r="J6" s="40"/>
      <c r="K6" s="40"/>
      <c r="L6" s="40"/>
      <c r="M6" s="40"/>
      <c r="N6" s="40"/>
      <c r="O6" s="40"/>
      <c r="P6" s="40"/>
      <c r="Q6" s="40"/>
      <c r="R6" s="40"/>
      <c r="T6" s="39"/>
      <c r="U6" s="40"/>
      <c r="W6" s="39"/>
      <c r="X6" s="40"/>
      <c r="Z6" s="39"/>
      <c r="AA6" s="40"/>
      <c r="AC6" s="39"/>
      <c r="AD6" s="40"/>
      <c r="AF6" s="39"/>
      <c r="AG6" s="40"/>
      <c r="AI6" s="39"/>
      <c r="AJ6" s="40"/>
      <c r="AL6" s="39"/>
      <c r="AM6" s="40"/>
    </row>
    <row r="7" spans="1:39" x14ac:dyDescent="0.25">
      <c r="E7" s="39" t="s">
        <v>65</v>
      </c>
      <c r="F7" s="40">
        <v>2017</v>
      </c>
      <c r="G7" s="40"/>
      <c r="H7" s="40"/>
      <c r="I7" s="40"/>
      <c r="J7" s="40"/>
      <c r="K7" s="40"/>
      <c r="L7" s="40"/>
      <c r="M7" s="40"/>
      <c r="N7" s="40"/>
      <c r="O7" s="40"/>
      <c r="P7" s="40"/>
      <c r="Q7" s="40"/>
      <c r="R7" s="40"/>
      <c r="T7" s="39"/>
      <c r="U7" s="40"/>
      <c r="W7" s="39"/>
      <c r="X7" s="40"/>
      <c r="Z7" s="39"/>
      <c r="AA7" s="40"/>
      <c r="AC7" s="39"/>
      <c r="AD7" s="40"/>
      <c r="AF7" s="39"/>
      <c r="AG7" s="40"/>
      <c r="AI7" s="39"/>
      <c r="AJ7" s="40"/>
      <c r="AL7" s="39"/>
      <c r="AM7" s="40"/>
    </row>
    <row r="8" spans="1:39" x14ac:dyDescent="0.25">
      <c r="E8" s="39" t="s">
        <v>66</v>
      </c>
      <c r="F8" s="40">
        <v>2017</v>
      </c>
      <c r="G8" s="40"/>
      <c r="H8" s="40"/>
      <c r="I8" s="40"/>
      <c r="J8" s="40"/>
      <c r="K8" s="40"/>
      <c r="L8" s="40"/>
      <c r="M8" s="40"/>
      <c r="N8" s="40"/>
      <c r="O8" s="40"/>
      <c r="P8" s="40"/>
      <c r="Q8" s="40"/>
      <c r="R8" s="40"/>
      <c r="T8" s="39"/>
      <c r="U8" s="40"/>
      <c r="W8" s="39"/>
      <c r="X8" s="40"/>
      <c r="Z8" s="39"/>
      <c r="AA8" s="40"/>
      <c r="AC8" s="39"/>
      <c r="AD8" s="40"/>
      <c r="AF8" s="39"/>
      <c r="AG8" s="40"/>
      <c r="AI8" s="39"/>
      <c r="AJ8" s="40"/>
      <c r="AL8" s="39"/>
      <c r="AM8" s="40"/>
    </row>
    <row r="9" spans="1:39" x14ac:dyDescent="0.25">
      <c r="E9" s="39" t="s">
        <v>67</v>
      </c>
      <c r="F9" s="40">
        <v>2017</v>
      </c>
      <c r="G9" s="40"/>
      <c r="H9" s="40"/>
      <c r="I9" s="40"/>
      <c r="J9" s="40"/>
      <c r="K9" s="40"/>
      <c r="L9" s="40"/>
      <c r="M9" s="40"/>
      <c r="N9" s="40"/>
      <c r="O9" s="40"/>
      <c r="P9" s="40"/>
      <c r="Q9" s="40"/>
      <c r="R9" s="40"/>
      <c r="T9" s="39"/>
      <c r="U9" s="40"/>
      <c r="W9" s="39"/>
      <c r="X9" s="40"/>
      <c r="Z9" s="39"/>
      <c r="AA9" s="40"/>
      <c r="AC9" s="39"/>
      <c r="AD9" s="40"/>
      <c r="AF9" s="39"/>
      <c r="AG9" s="40"/>
      <c r="AI9" s="39"/>
      <c r="AJ9" s="40"/>
      <c r="AL9" s="39"/>
      <c r="AM9" s="40"/>
    </row>
    <row r="10" spans="1:39" x14ac:dyDescent="0.25">
      <c r="G10"/>
      <c r="J10"/>
      <c r="T10" s="39"/>
      <c r="U10" s="40"/>
      <c r="W10" s="39"/>
      <c r="X10" s="40"/>
      <c r="Z10" s="39"/>
      <c r="AA10" s="40"/>
      <c r="AC10" s="39"/>
      <c r="AD10" s="40"/>
      <c r="AF10" s="39"/>
      <c r="AG10" s="40"/>
      <c r="AI10" s="39"/>
      <c r="AJ10" s="40"/>
      <c r="AL10" s="39"/>
      <c r="AM10" s="40"/>
    </row>
    <row r="11" spans="1:39" x14ac:dyDescent="0.25">
      <c r="G11"/>
      <c r="J11"/>
    </row>
    <row r="12" spans="1:39" x14ac:dyDescent="0.25">
      <c r="G12"/>
      <c r="J12"/>
    </row>
    <row r="13" spans="1:39" x14ac:dyDescent="0.25">
      <c r="G13"/>
      <c r="J13"/>
    </row>
    <row r="14" spans="1:39" x14ac:dyDescent="0.25">
      <c r="G14"/>
      <c r="J14"/>
    </row>
    <row r="15" spans="1:39" x14ac:dyDescent="0.25">
      <c r="G15"/>
      <c r="J15"/>
    </row>
    <row r="16" spans="1:39" x14ac:dyDescent="0.25">
      <c r="G16"/>
      <c r="J16"/>
    </row>
    <row r="17" spans="1:10" x14ac:dyDescent="0.25">
      <c r="G17"/>
      <c r="J17"/>
    </row>
    <row r="19" spans="1:10" x14ac:dyDescent="0.25">
      <c r="A19" s="2"/>
    </row>
    <row r="20" spans="1:10" x14ac:dyDescent="0.25">
      <c r="A20" s="2"/>
    </row>
    <row r="21" spans="1:10" x14ac:dyDescent="0.25">
      <c r="A21" s="2"/>
    </row>
    <row r="22" spans="1:10" x14ac:dyDescent="0.25">
      <c r="A22" s="2"/>
    </row>
    <row r="23" spans="1:10" x14ac:dyDescent="0.25">
      <c r="A23" s="2"/>
    </row>
    <row r="24" spans="1:10" x14ac:dyDescent="0.25">
      <c r="A24" s="2"/>
    </row>
    <row r="25" spans="1:10" x14ac:dyDescent="0.25">
      <c r="A25" s="2"/>
    </row>
    <row r="26" spans="1:10" x14ac:dyDescent="0.25">
      <c r="A26" s="2"/>
    </row>
    <row r="27" spans="1:10" x14ac:dyDescent="0.25">
      <c r="A27" s="2"/>
    </row>
    <row r="28" spans="1:10" x14ac:dyDescent="0.25">
      <c r="A28" s="2"/>
    </row>
    <row r="29" spans="1:10" x14ac:dyDescent="0.25">
      <c r="A29" s="2"/>
    </row>
    <row r="30" spans="1:10" x14ac:dyDescent="0.25">
      <c r="A3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zoomScaleNormal="100" workbookViewId="0">
      <selection activeCell="B2" sqref="B2:Z5"/>
    </sheetView>
  </sheetViews>
  <sheetFormatPr defaultColWidth="9.140625" defaultRowHeight="15" x14ac:dyDescent="0.25"/>
  <cols>
    <col min="1" max="1" width="4.7109375" style="7" customWidth="1"/>
    <col min="2" max="2" width="31.42578125" style="7" customWidth="1"/>
    <col min="3" max="3" width="11.85546875" style="7" customWidth="1"/>
    <col min="4" max="4" width="7.5703125" style="7" hidden="1" customWidth="1"/>
    <col min="5" max="5" width="11.85546875" style="7" customWidth="1"/>
    <col min="6" max="6" width="7.5703125" style="7" hidden="1" customWidth="1"/>
    <col min="7" max="7" width="11.85546875" style="7" customWidth="1"/>
    <col min="8" max="8" width="7.5703125" style="7" hidden="1" customWidth="1"/>
    <col min="9" max="9" width="11.85546875" style="7" customWidth="1"/>
    <col min="10" max="10" width="7.5703125" style="7" hidden="1" customWidth="1"/>
    <col min="11" max="11" width="11.85546875" style="7" customWidth="1"/>
    <col min="12" max="12" width="7.5703125" style="7" hidden="1" customWidth="1"/>
    <col min="13" max="13" width="11.85546875" style="7" customWidth="1"/>
    <col min="14" max="14" width="7.5703125" style="7" hidden="1" customWidth="1"/>
    <col min="15" max="15" width="11.85546875" style="7" customWidth="1"/>
    <col min="16" max="16" width="7.5703125" style="7" hidden="1" customWidth="1"/>
    <col min="17" max="17" width="11.85546875" style="7" customWidth="1"/>
    <col min="18" max="18" width="7.5703125" style="7" hidden="1" customWidth="1"/>
    <col min="19" max="19" width="11.85546875" style="7" customWidth="1"/>
    <col min="20" max="20" width="7.5703125" style="7" hidden="1" customWidth="1"/>
    <col min="21" max="21" width="11.85546875" style="7" customWidth="1"/>
    <col min="22" max="22" width="7.5703125" style="7" hidden="1" customWidth="1"/>
    <col min="23" max="23" width="11.85546875" style="7" customWidth="1"/>
    <col min="24" max="24" width="7.5703125" style="7" hidden="1" customWidth="1"/>
    <col min="25" max="25" width="11.85546875" style="7" customWidth="1"/>
    <col min="26" max="26" width="6.85546875" style="7" hidden="1" customWidth="1"/>
    <col min="27" max="27" width="26.7109375" style="7" hidden="1" customWidth="1"/>
    <col min="28" max="28" width="15.7109375" style="7" hidden="1" customWidth="1"/>
    <col min="29" max="29" width="34.7109375" style="7" hidden="1" customWidth="1"/>
    <col min="30" max="30" width="34.140625" style="7" hidden="1" customWidth="1"/>
    <col min="31" max="16384" width="9.140625" style="7"/>
  </cols>
  <sheetData>
    <row r="1" spans="1:30" ht="15.75" thickBot="1" x14ac:dyDescent="0.3"/>
    <row r="2" spans="1:30" ht="21.75" customHeight="1" x14ac:dyDescent="0.25">
      <c r="B2" s="144" t="s">
        <v>115</v>
      </c>
      <c r="C2" s="145"/>
      <c r="D2" s="145"/>
      <c r="E2" s="145"/>
      <c r="F2" s="145"/>
      <c r="G2" s="145"/>
      <c r="H2" s="145"/>
      <c r="I2" s="145"/>
      <c r="J2" s="145"/>
      <c r="K2" s="145"/>
      <c r="L2" s="145"/>
      <c r="M2" s="145"/>
      <c r="N2" s="145"/>
      <c r="O2" s="145"/>
      <c r="P2" s="145"/>
      <c r="Q2" s="145"/>
      <c r="R2" s="145"/>
      <c r="S2" s="145"/>
      <c r="T2" s="145"/>
      <c r="U2" s="145"/>
      <c r="V2" s="145"/>
      <c r="W2" s="145"/>
      <c r="X2" s="145"/>
      <c r="Y2" s="145"/>
      <c r="Z2" s="146"/>
    </row>
    <row r="3" spans="1:30" ht="21.75" customHeight="1" x14ac:dyDescent="0.25">
      <c r="B3" s="147"/>
      <c r="C3" s="148"/>
      <c r="D3" s="148"/>
      <c r="E3" s="148"/>
      <c r="F3" s="148"/>
      <c r="G3" s="148"/>
      <c r="H3" s="148"/>
      <c r="I3" s="148"/>
      <c r="J3" s="148"/>
      <c r="K3" s="148"/>
      <c r="L3" s="148"/>
      <c r="M3" s="148"/>
      <c r="N3" s="148"/>
      <c r="O3" s="148"/>
      <c r="P3" s="148"/>
      <c r="Q3" s="148"/>
      <c r="R3" s="148"/>
      <c r="S3" s="148"/>
      <c r="T3" s="148"/>
      <c r="U3" s="148"/>
      <c r="V3" s="148"/>
      <c r="W3" s="148"/>
      <c r="X3" s="148"/>
      <c r="Y3" s="148"/>
      <c r="Z3" s="149"/>
    </row>
    <row r="4" spans="1:30" ht="21.75" customHeight="1" x14ac:dyDescent="0.25">
      <c r="B4" s="147"/>
      <c r="C4" s="148"/>
      <c r="D4" s="148"/>
      <c r="E4" s="148"/>
      <c r="F4" s="148"/>
      <c r="G4" s="148"/>
      <c r="H4" s="148"/>
      <c r="I4" s="148"/>
      <c r="J4" s="148"/>
      <c r="K4" s="148"/>
      <c r="L4" s="148"/>
      <c r="M4" s="148"/>
      <c r="N4" s="148"/>
      <c r="O4" s="148"/>
      <c r="P4" s="148"/>
      <c r="Q4" s="148"/>
      <c r="R4" s="148"/>
      <c r="S4" s="148"/>
      <c r="T4" s="148"/>
      <c r="U4" s="148"/>
      <c r="V4" s="148"/>
      <c r="W4" s="148"/>
      <c r="X4" s="148"/>
      <c r="Y4" s="148"/>
      <c r="Z4" s="149"/>
    </row>
    <row r="5" spans="1:30" ht="21.75" customHeight="1" thickBot="1" x14ac:dyDescent="0.3">
      <c r="B5" s="150"/>
      <c r="C5" s="151"/>
      <c r="D5" s="151"/>
      <c r="E5" s="151"/>
      <c r="F5" s="151"/>
      <c r="G5" s="151"/>
      <c r="H5" s="151"/>
      <c r="I5" s="151"/>
      <c r="J5" s="151"/>
      <c r="K5" s="151"/>
      <c r="L5" s="151"/>
      <c r="M5" s="151"/>
      <c r="N5" s="151"/>
      <c r="O5" s="151"/>
      <c r="P5" s="151"/>
      <c r="Q5" s="151"/>
      <c r="R5" s="151"/>
      <c r="S5" s="151"/>
      <c r="T5" s="151"/>
      <c r="U5" s="151"/>
      <c r="V5" s="151"/>
      <c r="W5" s="151"/>
      <c r="X5" s="151"/>
      <c r="Y5" s="151"/>
      <c r="Z5" s="152"/>
    </row>
    <row r="6" spans="1:30" ht="15.75" thickBot="1" x14ac:dyDescent="0.3"/>
    <row r="7" spans="1:30" s="12" customFormat="1" ht="79.5" customHeight="1" thickBot="1" x14ac:dyDescent="0.3">
      <c r="B7" s="153" t="s">
        <v>70</v>
      </c>
      <c r="C7" s="154"/>
      <c r="D7" s="154"/>
      <c r="E7" s="154"/>
      <c r="F7" s="154"/>
      <c r="G7" s="154"/>
      <c r="H7" s="154"/>
      <c r="I7" s="154"/>
      <c r="J7" s="154"/>
      <c r="K7" s="154"/>
      <c r="L7" s="154"/>
      <c r="M7" s="154"/>
      <c r="N7" s="154"/>
      <c r="O7" s="154"/>
      <c r="P7" s="154"/>
      <c r="Q7" s="154"/>
      <c r="R7" s="154"/>
      <c r="S7" s="154"/>
      <c r="T7" s="154"/>
      <c r="U7" s="154"/>
      <c r="V7" s="154"/>
      <c r="W7" s="154"/>
      <c r="X7" s="154"/>
      <c r="Y7" s="154"/>
      <c r="Z7" s="155"/>
    </row>
    <row r="8" spans="1:30" ht="15.75" hidden="1" thickBot="1" x14ac:dyDescent="0.3">
      <c r="C8" s="7" t="b">
        <f>'Budget Request'!C12</f>
        <v>0</v>
      </c>
      <c r="D8" s="7" t="b">
        <f>C8</f>
        <v>0</v>
      </c>
      <c r="E8" s="7" t="b">
        <f>'Budget Request'!D12</f>
        <v>0</v>
      </c>
      <c r="F8" s="7" t="b">
        <f>E8</f>
        <v>0</v>
      </c>
      <c r="G8" s="7" t="b">
        <f>'Budget Request'!E12</f>
        <v>0</v>
      </c>
      <c r="H8" s="7" t="b">
        <f>G8</f>
        <v>0</v>
      </c>
      <c r="I8" s="7" t="b">
        <v>0</v>
      </c>
      <c r="J8" s="7" t="b">
        <v>0</v>
      </c>
      <c r="K8" s="7" t="b">
        <v>0</v>
      </c>
      <c r="L8" s="7" t="b">
        <v>0</v>
      </c>
      <c r="M8" s="7" t="b">
        <v>0</v>
      </c>
      <c r="N8" s="7" t="b">
        <v>0</v>
      </c>
      <c r="O8" s="7" t="b">
        <v>0</v>
      </c>
      <c r="P8" s="7" t="b">
        <v>0</v>
      </c>
      <c r="Q8" s="7" t="b">
        <v>0</v>
      </c>
      <c r="R8" s="7" t="b">
        <v>0</v>
      </c>
      <c r="S8" s="7" t="b">
        <v>0</v>
      </c>
      <c r="T8" s="7" t="b">
        <v>0</v>
      </c>
      <c r="U8" s="7" t="b">
        <v>0</v>
      </c>
      <c r="V8" s="7" t="b">
        <v>0</v>
      </c>
      <c r="W8" s="7" t="b">
        <v>0</v>
      </c>
      <c r="X8" s="7" t="b">
        <v>0</v>
      </c>
      <c r="Y8" s="7" t="b">
        <v>0</v>
      </c>
      <c r="Z8" s="7" t="b">
        <v>0</v>
      </c>
    </row>
    <row r="9" spans="1:30" ht="15.75" customHeight="1" thickBot="1" x14ac:dyDescent="0.3">
      <c r="B9" s="156"/>
      <c r="C9" s="158" t="s">
        <v>1</v>
      </c>
      <c r="D9" s="159"/>
      <c r="E9" s="159"/>
      <c r="F9" s="159"/>
      <c r="G9" s="159"/>
      <c r="H9" s="159"/>
      <c r="I9" s="159"/>
      <c r="J9" s="159"/>
      <c r="K9" s="159"/>
      <c r="L9" s="159"/>
      <c r="M9" s="159"/>
      <c r="N9" s="159"/>
      <c r="O9" s="159"/>
      <c r="P9" s="159"/>
      <c r="Q9" s="159"/>
      <c r="R9" s="159"/>
      <c r="S9" s="159"/>
      <c r="T9" s="159"/>
      <c r="U9" s="159"/>
      <c r="V9" s="159"/>
      <c r="W9" s="159"/>
      <c r="X9" s="159"/>
      <c r="Y9" s="159"/>
      <c r="Z9" s="160"/>
    </row>
    <row r="10" spans="1:30" ht="15.75" thickBot="1" x14ac:dyDescent="0.3">
      <c r="B10" s="157"/>
      <c r="C10" s="161" t="str">
        <f>'Budget Request'!C8</f>
        <v>FISCAL YEAR 2020/2021</v>
      </c>
      <c r="D10" s="162"/>
      <c r="E10" s="162"/>
      <c r="F10" s="162"/>
      <c r="G10" s="162"/>
      <c r="H10" s="162"/>
      <c r="I10" s="162"/>
      <c r="J10" s="163"/>
      <c r="K10" s="161" t="str">
        <f>'Budget Request'!E8</f>
        <v>FISCAL YEAR 2021/2022</v>
      </c>
      <c r="L10" s="162"/>
      <c r="M10" s="162"/>
      <c r="N10" s="162"/>
      <c r="O10" s="162"/>
      <c r="P10" s="162"/>
      <c r="Q10" s="162"/>
      <c r="R10" s="163"/>
      <c r="S10" s="161" t="str">
        <f>'Budget Request'!G8</f>
        <v>FISCAL YEAR 2022/2023</v>
      </c>
      <c r="T10" s="162"/>
      <c r="U10" s="162"/>
      <c r="V10" s="162"/>
      <c r="W10" s="162"/>
      <c r="X10" s="162"/>
      <c r="Y10" s="162"/>
      <c r="Z10" s="163"/>
    </row>
    <row r="11" spans="1:30" ht="56.25" customHeight="1" thickBot="1" x14ac:dyDescent="0.3">
      <c r="B11" s="13" t="s">
        <v>0</v>
      </c>
      <c r="C11" s="65" t="s">
        <v>77</v>
      </c>
      <c r="D11" s="71" t="s">
        <v>7</v>
      </c>
      <c r="E11" s="65" t="s">
        <v>78</v>
      </c>
      <c r="F11" s="71" t="s">
        <v>8</v>
      </c>
      <c r="G11" s="65" t="s">
        <v>79</v>
      </c>
      <c r="H11" s="71" t="s">
        <v>9</v>
      </c>
      <c r="I11" s="65" t="s">
        <v>80</v>
      </c>
      <c r="J11" s="71" t="s">
        <v>10</v>
      </c>
      <c r="K11" s="65" t="s">
        <v>81</v>
      </c>
      <c r="L11" s="71" t="s">
        <v>11</v>
      </c>
      <c r="M11" s="65" t="s">
        <v>82</v>
      </c>
      <c r="N11" s="71" t="s">
        <v>12</v>
      </c>
      <c r="O11" s="65" t="s">
        <v>83</v>
      </c>
      <c r="P11" s="71" t="s">
        <v>13</v>
      </c>
      <c r="Q11" s="65" t="s">
        <v>84</v>
      </c>
      <c r="R11" s="71" t="s">
        <v>14</v>
      </c>
      <c r="S11" s="65" t="s">
        <v>85</v>
      </c>
      <c r="T11" s="71" t="s">
        <v>15</v>
      </c>
      <c r="U11" s="65" t="s">
        <v>86</v>
      </c>
      <c r="V11" s="71" t="s">
        <v>16</v>
      </c>
      <c r="W11" s="65" t="s">
        <v>87</v>
      </c>
      <c r="X11" s="71" t="s">
        <v>17</v>
      </c>
      <c r="Y11" s="65" t="s">
        <v>88</v>
      </c>
      <c r="Z11" s="14" t="s">
        <v>18</v>
      </c>
      <c r="AA11" s="19" t="s">
        <v>24</v>
      </c>
      <c r="AB11" s="19" t="s">
        <v>25</v>
      </c>
      <c r="AC11" s="42" t="s">
        <v>39</v>
      </c>
      <c r="AD11" s="42" t="s">
        <v>40</v>
      </c>
    </row>
    <row r="12" spans="1:30" s="3" customFormat="1" ht="15.75" thickBot="1" x14ac:dyDescent="0.3">
      <c r="A12" s="119" t="s">
        <v>19</v>
      </c>
      <c r="B12" s="56" t="s">
        <v>20</v>
      </c>
      <c r="C12" s="6"/>
      <c r="D12" s="5"/>
      <c r="E12" s="6"/>
      <c r="F12" s="5"/>
      <c r="G12" s="6"/>
      <c r="H12" s="5"/>
      <c r="I12" s="6"/>
      <c r="J12" s="5"/>
      <c r="K12" s="6"/>
      <c r="L12" s="5"/>
      <c r="M12" s="6"/>
      <c r="N12" s="5"/>
      <c r="O12" s="6"/>
      <c r="P12" s="5"/>
      <c r="Q12" s="6"/>
      <c r="R12" s="5"/>
      <c r="S12" s="6"/>
      <c r="T12" s="5"/>
      <c r="U12" s="6"/>
      <c r="V12" s="5"/>
      <c r="W12" s="6"/>
      <c r="X12" s="5"/>
      <c r="Y12" s="6"/>
      <c r="Z12" s="8"/>
      <c r="AA12" s="18" t="str">
        <f>LEFT(_xlfn.IFNA(INDEX(Milestones6[[#Headers],[Y1Q1
(Apr – Jun)]:[Y3Q4
Achieved]],,MATCH("x",Milestones6[[#This Row],[Y1Q1
(Apr – Jun)]:[Y3Q4
Achieved]],0)),""),4)</f>
        <v/>
      </c>
      <c r="AB12" s="18" t="str">
        <f>LEFT(_xlfn.IFNA(INDEX(Milestones6[[#Headers],[Y1Q1
(Apr – Jun)]:[Y3Q4
Achieved]],,MATCH("A",Milestones6[[#This Row],[Y1Q1
(Apr – Jun)]:[Y3Q4
Achieved]],0)-1),""),4)</f>
        <v/>
      </c>
      <c r="AC12"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2"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3" spans="1:30" s="3" customFormat="1" ht="15.75" thickBot="1" x14ac:dyDescent="0.3">
      <c r="A13" s="120"/>
      <c r="B13" s="57" t="s">
        <v>21</v>
      </c>
      <c r="C13" s="9"/>
      <c r="D13" s="10"/>
      <c r="E13" s="9"/>
      <c r="F13" s="10"/>
      <c r="G13" s="9"/>
      <c r="H13" s="10"/>
      <c r="I13" s="9"/>
      <c r="J13" s="10"/>
      <c r="K13" s="9"/>
      <c r="L13" s="10"/>
      <c r="M13" s="9"/>
      <c r="N13" s="10"/>
      <c r="O13" s="9"/>
      <c r="P13" s="10"/>
      <c r="Q13" s="9"/>
      <c r="R13" s="10"/>
      <c r="S13" s="9"/>
      <c r="T13" s="10"/>
      <c r="U13" s="9"/>
      <c r="V13" s="10"/>
      <c r="W13" s="9"/>
      <c r="X13" s="10"/>
      <c r="Y13" s="9"/>
      <c r="Z13" s="11"/>
      <c r="AA13" s="18" t="str">
        <f>LEFT(_xlfn.IFNA(INDEX(Milestones6[[#Headers],[Y1Q1
(Apr – Jun)]:[Y3Q4
Achieved]],,MATCH("x",Milestones6[[#This Row],[Y1Q1
(Apr – Jun)]:[Y3Q4
Achieved]],0)),""),4)</f>
        <v/>
      </c>
      <c r="AB13" s="18" t="str">
        <f>LEFT(_xlfn.IFNA(INDEX(Milestones6[[#Headers],[Y1Q1
(Apr – Jun)]:[Y3Q4
Achieved]],,MATCH("A",Milestones6[[#This Row],[Y1Q1
(Apr – Jun)]:[Y3Q4
Achieved]],0)-1),""),4)</f>
        <v/>
      </c>
      <c r="AC13"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3"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4" spans="1:30" s="3" customFormat="1" ht="15.75" thickBot="1" x14ac:dyDescent="0.3">
      <c r="A14" s="120"/>
      <c r="B14" s="57" t="s">
        <v>22</v>
      </c>
      <c r="C14" s="9"/>
      <c r="D14" s="10"/>
      <c r="E14" s="9"/>
      <c r="F14" s="10"/>
      <c r="G14" s="9"/>
      <c r="H14" s="10"/>
      <c r="I14" s="9"/>
      <c r="J14" s="10"/>
      <c r="K14" s="9"/>
      <c r="L14" s="10"/>
      <c r="M14" s="9"/>
      <c r="N14" s="10"/>
      <c r="O14" s="9"/>
      <c r="P14" s="10"/>
      <c r="Q14" s="9"/>
      <c r="R14" s="10"/>
      <c r="S14" s="9"/>
      <c r="T14" s="10"/>
      <c r="U14" s="9"/>
      <c r="V14" s="10"/>
      <c r="W14" s="9"/>
      <c r="X14" s="10"/>
      <c r="Y14" s="9"/>
      <c r="Z14" s="11"/>
      <c r="AA14" s="18" t="str">
        <f>LEFT(_xlfn.IFNA(INDEX(Milestones6[[#Headers],[Y1Q1
(Apr – Jun)]:[Y3Q4
Achieved]],,MATCH("x",Milestones6[[#This Row],[Y1Q1
(Apr – Jun)]:[Y3Q4
Achieved]],0)),""),4)</f>
        <v/>
      </c>
      <c r="AB14" s="18" t="str">
        <f>LEFT(_xlfn.IFNA(INDEX(Milestones6[[#Headers],[Y1Q1
(Apr – Jun)]:[Y3Q4
Achieved]],,MATCH("A",Milestones6[[#This Row],[Y1Q1
(Apr – Jun)]:[Y3Q4
Achieved]],0)-1),""),4)</f>
        <v/>
      </c>
      <c r="AC14"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4"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5" spans="1:30" s="3" customFormat="1" ht="15.75" thickBot="1" x14ac:dyDescent="0.3">
      <c r="A15" s="120"/>
      <c r="B15" s="56" t="s">
        <v>23</v>
      </c>
      <c r="C15" s="6"/>
      <c r="D15" s="5"/>
      <c r="E15" s="6"/>
      <c r="F15" s="5"/>
      <c r="G15" s="6"/>
      <c r="H15" s="5"/>
      <c r="I15" s="6"/>
      <c r="J15" s="5"/>
      <c r="K15" s="6"/>
      <c r="L15" s="5"/>
      <c r="M15" s="6"/>
      <c r="N15" s="5"/>
      <c r="O15" s="6"/>
      <c r="P15" s="5"/>
      <c r="Q15" s="6"/>
      <c r="R15" s="5"/>
      <c r="S15" s="6"/>
      <c r="T15" s="5"/>
      <c r="U15" s="6"/>
      <c r="V15" s="5"/>
      <c r="W15" s="6"/>
      <c r="X15" s="5"/>
      <c r="Y15" s="6"/>
      <c r="Z15" s="8"/>
      <c r="AA15" s="18" t="str">
        <f>LEFT(_xlfn.IFNA(INDEX(Milestones6[[#Headers],[Y1Q1
(Apr – Jun)]:[Y3Q4
Achieved]],,MATCH("x",Milestones6[[#This Row],[Y1Q1
(Apr – Jun)]:[Y3Q4
Achieved]],0)),""),4)</f>
        <v/>
      </c>
      <c r="AB15" s="18" t="str">
        <f>LEFT(_xlfn.IFNA(INDEX(Milestones6[[#Headers],[Y1Q1
(Apr – Jun)]:[Y3Q4
Achieved]],,MATCH("A",Milestones6[[#This Row],[Y1Q1
(Apr – Jun)]:[Y3Q4
Achieved]],0)-1),""),4)</f>
        <v/>
      </c>
      <c r="AC15"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5"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6" spans="1:30" s="3" customFormat="1" ht="15.75" thickBot="1" x14ac:dyDescent="0.3">
      <c r="A16" s="120"/>
      <c r="B16" s="56"/>
      <c r="C16" s="6"/>
      <c r="D16" s="5"/>
      <c r="E16" s="6"/>
      <c r="F16" s="5"/>
      <c r="G16" s="6"/>
      <c r="H16" s="5"/>
      <c r="I16" s="6"/>
      <c r="J16" s="5"/>
      <c r="K16" s="6"/>
      <c r="L16" s="5"/>
      <c r="M16" s="6"/>
      <c r="N16" s="5"/>
      <c r="O16" s="6"/>
      <c r="P16" s="5"/>
      <c r="Q16" s="6"/>
      <c r="R16" s="5"/>
      <c r="S16" s="6"/>
      <c r="T16" s="5"/>
      <c r="U16" s="6"/>
      <c r="V16" s="5"/>
      <c r="W16" s="6"/>
      <c r="X16" s="5"/>
      <c r="Y16" s="6"/>
      <c r="Z16" s="8"/>
      <c r="AA16" s="18" t="str">
        <f>LEFT(_xlfn.IFNA(INDEX(Milestones6[[#Headers],[Y1Q1
(Apr – Jun)]:[Y3Q4
Achieved]],,MATCH("x",Milestones6[[#This Row],[Y1Q1
(Apr – Jun)]:[Y3Q4
Achieved]],0)),""),4)</f>
        <v/>
      </c>
      <c r="AB16" s="18" t="str">
        <f>LEFT(_xlfn.IFNA(INDEX(Milestones6[[#Headers],[Y1Q1
(Apr – Jun)]:[Y3Q4
Achieved]],,MATCH("A",Milestones6[[#This Row],[Y1Q1
(Apr – Jun)]:[Y3Q4
Achieved]],0)-1),""),4)</f>
        <v/>
      </c>
      <c r="AC16"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6"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7" spans="1:30" s="3" customFormat="1" ht="15.75" thickBot="1" x14ac:dyDescent="0.3">
      <c r="A17" s="120"/>
      <c r="B17" s="56"/>
      <c r="C17" s="6"/>
      <c r="D17" s="5"/>
      <c r="E17" s="6"/>
      <c r="F17" s="5"/>
      <c r="G17" s="6"/>
      <c r="H17" s="5"/>
      <c r="I17" s="6"/>
      <c r="J17" s="5"/>
      <c r="K17" s="6"/>
      <c r="L17" s="5"/>
      <c r="M17" s="6"/>
      <c r="N17" s="5"/>
      <c r="O17" s="6"/>
      <c r="P17" s="5"/>
      <c r="Q17" s="6"/>
      <c r="R17" s="5"/>
      <c r="S17" s="6"/>
      <c r="T17" s="5"/>
      <c r="U17" s="6"/>
      <c r="V17" s="5"/>
      <c r="W17" s="6"/>
      <c r="X17" s="5"/>
      <c r="Y17" s="6"/>
      <c r="Z17" s="8"/>
      <c r="AA17" s="21" t="str">
        <f>LEFT(_xlfn.IFNA(INDEX(Milestones6[[#Headers],[Y1Q1
(Apr – Jun)]:[Y3Q4
Achieved]],,MATCH("x",Milestones6[[#This Row],[Y1Q1
(Apr – Jun)]:[Y3Q4
Achieved]],0)),""),4)</f>
        <v/>
      </c>
      <c r="AB17" s="21" t="str">
        <f>LEFT(_xlfn.IFNA(INDEX(Milestones6[[#Headers],[Y1Q1
(Apr – Jun)]:[Y3Q4
Achieved]],,MATCH("A",Milestones6[[#This Row],[Y1Q1
(Apr – Jun)]:[Y3Q4
Achieved]],0)-1),""),4)</f>
        <v/>
      </c>
      <c r="AC17"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7"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8" spans="1:30" s="3" customFormat="1" ht="15.75" thickBot="1" x14ac:dyDescent="0.3">
      <c r="A18" s="120"/>
      <c r="B18" s="56"/>
      <c r="C18" s="6"/>
      <c r="D18" s="5"/>
      <c r="E18" s="6"/>
      <c r="F18" s="5"/>
      <c r="G18" s="6"/>
      <c r="H18" s="5"/>
      <c r="I18" s="6"/>
      <c r="J18" s="5"/>
      <c r="K18" s="6"/>
      <c r="L18" s="5"/>
      <c r="M18" s="6"/>
      <c r="N18" s="5"/>
      <c r="O18" s="6"/>
      <c r="P18" s="5"/>
      <c r="Q18" s="6"/>
      <c r="R18" s="5"/>
      <c r="S18" s="6"/>
      <c r="T18" s="5"/>
      <c r="U18" s="6"/>
      <c r="V18" s="5"/>
      <c r="W18" s="6"/>
      <c r="X18" s="5"/>
      <c r="Y18" s="6"/>
      <c r="Z18" s="8"/>
      <c r="AA18" s="21" t="str">
        <f>LEFT(_xlfn.IFNA(INDEX(Milestones6[[#Headers],[Y1Q1
(Apr – Jun)]:[Y3Q4
Achieved]],,MATCH("x",Milestones6[[#This Row],[Y1Q1
(Apr – Jun)]:[Y3Q4
Achieved]],0)),""),4)</f>
        <v/>
      </c>
      <c r="AB18" s="21" t="str">
        <f>LEFT(_xlfn.IFNA(INDEX(Milestones6[[#Headers],[Y1Q1
(Apr – Jun)]:[Y3Q4
Achieved]],,MATCH("A",Milestones6[[#This Row],[Y1Q1
(Apr – Jun)]:[Y3Q4
Achieved]],0)-1),""),4)</f>
        <v/>
      </c>
      <c r="AC18" s="2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8" s="2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19" spans="1:30" s="3" customFormat="1" ht="15.75" thickBot="1" x14ac:dyDescent="0.3">
      <c r="A19" s="120"/>
      <c r="B19" s="56"/>
      <c r="C19" s="6"/>
      <c r="D19" s="5"/>
      <c r="E19" s="6"/>
      <c r="F19" s="5"/>
      <c r="G19" s="6"/>
      <c r="H19" s="5"/>
      <c r="I19" s="6"/>
      <c r="J19" s="5"/>
      <c r="K19" s="6"/>
      <c r="L19" s="5"/>
      <c r="M19" s="6"/>
      <c r="N19" s="5"/>
      <c r="O19" s="6"/>
      <c r="P19" s="5"/>
      <c r="Q19" s="6"/>
      <c r="R19" s="5"/>
      <c r="S19" s="6"/>
      <c r="T19" s="5"/>
      <c r="U19" s="6"/>
      <c r="V19" s="5"/>
      <c r="W19" s="6"/>
      <c r="X19" s="5"/>
      <c r="Y19" s="6"/>
      <c r="Z19" s="8"/>
      <c r="AA19" s="18" t="str">
        <f>LEFT(_xlfn.IFNA(INDEX(Milestones6[[#Headers],[Y1Q1
(Apr – Jun)]:[Y3Q4
Achieved]],,MATCH("x",Milestones6[[#This Row],[Y1Q1
(Apr – Jun)]:[Y3Q4
Achieved]],0)),""),4)</f>
        <v/>
      </c>
      <c r="AB19" s="18" t="str">
        <f>LEFT(_xlfn.IFNA(INDEX(Milestones6[[#Headers],[Y1Q1
(Apr – Jun)]:[Y3Q4
Achieved]],,MATCH("A",Milestones6[[#This Row],[Y1Q1
(Apr – Jun)]:[Y3Q4
Achieved]],0)-1),""),4)</f>
        <v/>
      </c>
      <c r="AC19"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19"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20" spans="1:30" s="3" customFormat="1" ht="15.75" thickBot="1" x14ac:dyDescent="0.3">
      <c r="A20" s="120"/>
      <c r="B20" s="56"/>
      <c r="C20" s="6"/>
      <c r="D20" s="5"/>
      <c r="E20" s="6"/>
      <c r="F20" s="5"/>
      <c r="G20" s="6"/>
      <c r="H20" s="5"/>
      <c r="I20" s="6"/>
      <c r="J20" s="5"/>
      <c r="K20" s="6"/>
      <c r="L20" s="5"/>
      <c r="M20" s="6"/>
      <c r="N20" s="5"/>
      <c r="O20" s="6"/>
      <c r="P20" s="5"/>
      <c r="Q20" s="6"/>
      <c r="R20" s="5"/>
      <c r="S20" s="6"/>
      <c r="T20" s="5"/>
      <c r="U20" s="6"/>
      <c r="V20" s="5"/>
      <c r="W20" s="6"/>
      <c r="X20" s="5"/>
      <c r="Y20" s="6"/>
      <c r="Z20" s="8"/>
      <c r="AA20" s="18" t="str">
        <f>LEFT(_xlfn.IFNA(INDEX(Milestones6[[#Headers],[Y1Q1
(Apr – Jun)]:[Y3Q4
Achieved]],,MATCH("x",Milestones6[[#This Row],[Y1Q1
(Apr – Jun)]:[Y3Q4
Achieved]],0)),""),4)</f>
        <v/>
      </c>
      <c r="AB20" s="18" t="str">
        <f>LEFT(_xlfn.IFNA(INDEX(Milestones6[[#Headers],[Y1Q1
(Apr – Jun)]:[Y3Q4
Achieved]],,MATCH("A",Milestones6[[#This Row],[Y1Q1
(Apr – Jun)]:[Y3Q4
Achieved]],0)-1),""),4)</f>
        <v/>
      </c>
      <c r="AC20"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20"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21" spans="1:30" s="3" customFormat="1" ht="15.75" thickBot="1" x14ac:dyDescent="0.3">
      <c r="A21" s="120"/>
      <c r="B21" s="56"/>
      <c r="C21" s="84"/>
      <c r="D21" s="5"/>
      <c r="E21" s="6"/>
      <c r="F21" s="5"/>
      <c r="G21" s="6"/>
      <c r="H21" s="5"/>
      <c r="I21" s="6"/>
      <c r="J21" s="5"/>
      <c r="K21" s="6"/>
      <c r="L21" s="5"/>
      <c r="M21" s="6"/>
      <c r="N21" s="5"/>
      <c r="O21" s="6"/>
      <c r="P21" s="5"/>
      <c r="Q21" s="6"/>
      <c r="R21" s="5"/>
      <c r="S21" s="6"/>
      <c r="T21" s="5"/>
      <c r="U21" s="6"/>
      <c r="V21" s="5"/>
      <c r="W21" s="6"/>
      <c r="X21" s="5"/>
      <c r="Y21" s="6"/>
      <c r="Z21" s="8"/>
      <c r="AA21" s="21" t="str">
        <f>LEFT(_xlfn.IFNA(INDEX(Milestones6[[#Headers],[Y1Q1
(Apr – Jun)]:[Y3Q4
Achieved]],,MATCH("x",Milestones6[[#This Row],[Y1Q1
(Apr – Jun)]:[Y3Q4
Achieved]],0)),""),4)</f>
        <v/>
      </c>
      <c r="AB21" s="21" t="str">
        <f>LEFT(_xlfn.IFNA(INDEX(Milestones6[[#Headers],[Y1Q1
(Apr – Jun)]:[Y3Q4
Achieved]],,MATCH("A",Milestones6[[#This Row],[Y1Q1
(Apr – Jun)]:[Y3Q4
Achieved]],0)-1),""),4)</f>
        <v/>
      </c>
      <c r="AC21" s="21" t="str">
        <f>IF(Milestones6[[#This Row],[Year and Period of Milestone]]&lt;&gt;"",'Budget Request'!$C$7&amp;"^^^^"&amp;Milestones6[[#This Row],[Major Milestones or Deliverables]]&amp;"****DATE:####"&amp;'Budget Request'!$Q$7+MID(Milestones6[[#This Row],[Year and Period of Milestone]],2,1)&amp;RIGHT(Milestones6[[#This Row],[Year and Period of Milestone]],2),"")</f>
        <v/>
      </c>
      <c r="AD21" s="2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22" spans="1:30" s="3" customFormat="1" ht="15.75" thickBot="1" x14ac:dyDescent="0.3">
      <c r="A22" s="120"/>
      <c r="B22" s="56"/>
      <c r="C22" s="6"/>
      <c r="D22" s="5"/>
      <c r="E22" s="6"/>
      <c r="F22" s="5"/>
      <c r="G22" s="6"/>
      <c r="H22" s="5"/>
      <c r="I22" s="6"/>
      <c r="J22" s="5"/>
      <c r="K22" s="6"/>
      <c r="L22" s="5"/>
      <c r="M22" s="6"/>
      <c r="N22" s="5"/>
      <c r="O22" s="6"/>
      <c r="P22" s="5"/>
      <c r="Q22" s="6"/>
      <c r="R22" s="5"/>
      <c r="S22" s="6"/>
      <c r="T22" s="5"/>
      <c r="U22" s="6"/>
      <c r="V22" s="5"/>
      <c r="W22" s="6"/>
      <c r="X22" s="5"/>
      <c r="Y22" s="6"/>
      <c r="Z22" s="8"/>
      <c r="AA22" s="21" t="str">
        <f>LEFT(_xlfn.IFNA(INDEX(Milestones6[[#Headers],[Y1Q1
(Apr – Jun)]:[Y3Q4
Achieved]],,MATCH("x",Milestones6[[#This Row],[Y1Q1
(Apr – Jun)]:[Y3Q4
Achieved]],0)),""),4)</f>
        <v/>
      </c>
      <c r="AB22" s="20" t="str">
        <f>LEFT(_xlfn.IFNA(INDEX(Milestones6[[#Headers],[Y1Q1
(Apr – Jun)]:[Y3Q4
Achieved]],,MATCH("A",Milestones6[[#This Row],[Y1Q1
(Apr – Jun)]:[Y3Q4
Achieved]],0)-1),""),4)</f>
        <v/>
      </c>
      <c r="AC22" s="41" t="str">
        <f>IF(Milestones6[[#This Row],[Year and Period of Milestone]]&lt;&gt;"",'Budget Request'!$C$7&amp;"^^^^"&amp;Milestones6[[#This Row],[Major Milestones or Deliverables]]&amp;"****DATE:####"&amp;'Budget Request'!$Q$7+MID(Milestones6[[#This Row],[Year and Period of Milestone]],2,1)&amp;RIGHT(Milestones6[[#This Row],[Year and Period of Milestone]],2),"")</f>
        <v/>
      </c>
      <c r="AD22" s="41" t="str">
        <f>IF(AND(Milestones6[[#This Row],[Major Milestones or Deliverables]]&lt;&gt;"",Milestones6[[#This Row],[Year and Period achieved]]&lt;&gt;""),'Budget Request'!$C$7&amp;"^^^^"&amp;Milestones6[[#This Row],[Major Milestones or Deliverables]]&amp;"****ACHIEVED:####"&amp;'Budget Request'!$Q$7+MID(Milestones6[[#This Row],[Year and Period achieved]],2,1)&amp;RIGHT(Milestones6[[#This Row],[Year and Period achieved]],2),"")</f>
        <v/>
      </c>
    </row>
    <row r="23" spans="1:30" ht="153.75" customHeight="1" thickBot="1" x14ac:dyDescent="0.3">
      <c r="A23" s="17"/>
      <c r="B23" s="116" t="s">
        <v>76</v>
      </c>
      <c r="C23" s="117"/>
      <c r="D23" s="117"/>
      <c r="E23" s="117"/>
      <c r="F23" s="117"/>
      <c r="G23" s="117"/>
      <c r="H23" s="117"/>
      <c r="I23" s="117"/>
      <c r="J23" s="118"/>
      <c r="K23" s="72"/>
      <c r="L23" s="72"/>
      <c r="M23" s="72"/>
      <c r="N23" s="72"/>
      <c r="O23" s="72"/>
      <c r="P23" s="72"/>
      <c r="Q23" s="72"/>
      <c r="R23" s="72"/>
      <c r="S23" s="72"/>
      <c r="T23" s="72"/>
      <c r="U23" s="72"/>
      <c r="V23" s="72"/>
      <c r="W23" s="72"/>
      <c r="X23" s="15"/>
      <c r="Y23" s="72"/>
      <c r="Z23" s="16"/>
    </row>
  </sheetData>
  <sheetProtection insertRows="0" deleteRows="0"/>
  <mergeCells count="9">
    <mergeCell ref="B2:Z5"/>
    <mergeCell ref="A12:A22"/>
    <mergeCell ref="B23:J23"/>
    <mergeCell ref="B7:Z7"/>
    <mergeCell ref="B9:B10"/>
    <mergeCell ref="C9:Z9"/>
    <mergeCell ref="C10:J10"/>
    <mergeCell ref="K10:R10"/>
    <mergeCell ref="S10:Z10"/>
  </mergeCells>
  <conditionalFormatting sqref="B12:B22">
    <cfRule type="expression" dxfId="46" priority="5">
      <formula>IF(COUNTA($D12,$F12,$H12,$J12,$L12,$N12,$P12,$R12,$T12,$V12,$X12,$Z12)&gt;1,TRUE,FALSE)</formula>
    </cfRule>
    <cfRule type="expression" dxfId="45" priority="6">
      <formula>IF(AND(COUNTA($C12,$E12,$G12,$I12,$K12,$M12,$O12,$Q12,$S12,$U12,$W12,$Y12)=0,COUNTA($D12,$F12,$H12,$J12,$L12,$N12,$P12,$R12,$T12,$V12,$X12,$Z12)&gt;0),TRUE,FALSE)</formula>
    </cfRule>
    <cfRule type="expression" dxfId="44" priority="7">
      <formula>IF(COUNTA($C12,$E12,$G12,$I12,$K12,$M12,$O12,$Q12,$S12,$U12,$W12,$Y12)&gt;1,TRUE,FALSE)</formula>
    </cfRule>
  </conditionalFormatting>
  <conditionalFormatting sqref="C12:Z22">
    <cfRule type="expression" dxfId="43" priority="1">
      <formula>C$8</formula>
    </cfRule>
  </conditionalFormatting>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'Hidden List Sheet'!$B$1:$B$2</xm:f>
          </x14:formula1>
          <xm:sqref>E12:E22 C12:C22 G12:G22 I12:I22 K12:K22 M12:M22 O12:O22 Q12:Q22 S12:S22 U12:U22 Y12:Y22 W12:W22</xm:sqref>
        </x14:dataValidation>
        <x14:dataValidation type="list" allowBlank="1" showInputMessage="1" showErrorMessage="1">
          <x14:formula1>
            <xm:f>'Hidden List Sheet'!$C$1:$C$2</xm:f>
          </x14:formula1>
          <xm:sqref>Z12:Z22 X12:X22 V12:V22 T12:T22 R12:R22 P12:P22 N12:N22 L12:L22 J12:J22 H12:H22 F12:F22 D12:D22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3"/>
  <sheetViews>
    <sheetView zoomScaleNormal="100" workbookViewId="0">
      <selection activeCell="J57" sqref="J57"/>
    </sheetView>
  </sheetViews>
  <sheetFormatPr defaultColWidth="9.140625" defaultRowHeight="15" x14ac:dyDescent="0.25"/>
  <cols>
    <col min="1" max="1" width="4.42578125" style="7" customWidth="1"/>
    <col min="2" max="2" width="27.140625" style="7" customWidth="1"/>
    <col min="3" max="18" width="13.28515625" style="7" customWidth="1"/>
    <col min="19" max="19" width="16.7109375" style="7" customWidth="1"/>
    <col min="20" max="16384" width="9.140625" style="7"/>
  </cols>
  <sheetData>
    <row r="1" spans="2:19" ht="15.75" thickBot="1" x14ac:dyDescent="0.3"/>
    <row r="2" spans="2:19" ht="21.75" customHeight="1" x14ac:dyDescent="0.25">
      <c r="B2" s="144" t="s">
        <v>116</v>
      </c>
      <c r="C2" s="145"/>
      <c r="D2" s="145"/>
      <c r="E2" s="145"/>
      <c r="F2" s="145"/>
      <c r="G2" s="145"/>
      <c r="H2" s="145"/>
      <c r="I2" s="145"/>
      <c r="J2" s="145"/>
      <c r="K2" s="145"/>
      <c r="L2" s="145"/>
      <c r="M2" s="145"/>
      <c r="N2" s="145"/>
      <c r="O2" s="145"/>
      <c r="P2" s="145"/>
      <c r="Q2" s="145"/>
      <c r="R2" s="145"/>
      <c r="S2" s="146"/>
    </row>
    <row r="3" spans="2:19" ht="21.75" customHeight="1" x14ac:dyDescent="0.25">
      <c r="B3" s="147"/>
      <c r="C3" s="148"/>
      <c r="D3" s="148"/>
      <c r="E3" s="148"/>
      <c r="F3" s="148"/>
      <c r="G3" s="148"/>
      <c r="H3" s="148"/>
      <c r="I3" s="148"/>
      <c r="J3" s="148"/>
      <c r="K3" s="148"/>
      <c r="L3" s="148"/>
      <c r="M3" s="148"/>
      <c r="N3" s="148"/>
      <c r="O3" s="148"/>
      <c r="P3" s="148"/>
      <c r="Q3" s="148"/>
      <c r="R3" s="148"/>
      <c r="S3" s="149"/>
    </row>
    <row r="4" spans="2:19" ht="21.75" customHeight="1" x14ac:dyDescent="0.25">
      <c r="B4" s="147"/>
      <c r="C4" s="148"/>
      <c r="D4" s="148"/>
      <c r="E4" s="148"/>
      <c r="F4" s="148"/>
      <c r="G4" s="148"/>
      <c r="H4" s="148"/>
      <c r="I4" s="148"/>
      <c r="J4" s="148"/>
      <c r="K4" s="148"/>
      <c r="L4" s="148"/>
      <c r="M4" s="148"/>
      <c r="N4" s="148"/>
      <c r="O4" s="148"/>
      <c r="P4" s="148"/>
      <c r="Q4" s="148"/>
      <c r="R4" s="148"/>
      <c r="S4" s="149"/>
    </row>
    <row r="5" spans="2:19" ht="21.75" customHeight="1" thickBot="1" x14ac:dyDescent="0.3">
      <c r="B5" s="150"/>
      <c r="C5" s="151"/>
      <c r="D5" s="151"/>
      <c r="E5" s="151"/>
      <c r="F5" s="151"/>
      <c r="G5" s="151"/>
      <c r="H5" s="151"/>
      <c r="I5" s="151"/>
      <c r="J5" s="151"/>
      <c r="K5" s="151"/>
      <c r="L5" s="151"/>
      <c r="M5" s="151"/>
      <c r="N5" s="151"/>
      <c r="O5" s="151"/>
      <c r="P5" s="151"/>
      <c r="Q5" s="151"/>
      <c r="R5" s="151"/>
      <c r="S5" s="152"/>
    </row>
    <row r="6" spans="2:19" ht="15.75" thickBot="1" x14ac:dyDescent="0.3"/>
    <row r="7" spans="2:19" ht="73.5" customHeight="1" thickBot="1" x14ac:dyDescent="0.3">
      <c r="B7" s="153" t="str">
        <f>"Input any expected revenues at the end of period they are expected to be earned and provide any assumptions.  Ensure all revenues and expenses are after the project start date, "&amp;MONTH('Budget Request'!G7)&amp;"/"&amp;DAY('Budget Request'!G7)&amp;"/"&amp;YEAR('Budget Request'!G7)&amp;", on the Budget Request sheet.
All expenses are assumed to occur at the beginning of a quarter and all revenues are assumed to be received at the end of a quarter."</f>
        <v>Input any expected revenues at the end of period they are expected to be earned and provide any assumptions.  Ensure all revenues and expenses are after the project start date, 4/1/2020, on the Budget Request sheet.
All expenses are assumed to occur at the beginning of a quarter and all revenues are assumed to be received at the end of a quarter.</v>
      </c>
      <c r="C7" s="154"/>
      <c r="D7" s="154"/>
      <c r="E7" s="154"/>
      <c r="F7" s="154"/>
      <c r="G7" s="154"/>
      <c r="H7" s="154"/>
      <c r="I7" s="154"/>
      <c r="J7" s="154"/>
      <c r="K7" s="154"/>
      <c r="L7" s="154"/>
      <c r="M7" s="154"/>
      <c r="N7" s="154"/>
      <c r="O7" s="154"/>
      <c r="P7" s="154"/>
      <c r="Q7" s="154"/>
      <c r="R7" s="154"/>
      <c r="S7" s="155"/>
    </row>
    <row r="8" spans="2:19" ht="15.75" customHeight="1" thickBot="1" x14ac:dyDescent="0.3">
      <c r="B8" s="28"/>
      <c r="C8" s="173" t="str">
        <f>'Budget Request'!C8</f>
        <v>FISCAL YEAR 2020/2021</v>
      </c>
      <c r="D8" s="162"/>
      <c r="E8" s="162"/>
      <c r="F8" s="163"/>
      <c r="G8" s="173" t="str">
        <f>'Budget Request'!E8</f>
        <v>FISCAL YEAR 2021/2022</v>
      </c>
      <c r="H8" s="162"/>
      <c r="I8" s="162"/>
      <c r="J8" s="163"/>
      <c r="K8" s="173" t="str">
        <f>'Budget Request'!G8</f>
        <v>FISCAL YEAR 2022/2023</v>
      </c>
      <c r="L8" s="162"/>
      <c r="M8" s="162"/>
      <c r="N8" s="163"/>
      <c r="O8" s="173" t="str">
        <f>"FISCAL YEAR "&amp;YEAR('Budget Request'!G7)+3&amp;"/"&amp;YEAR('Budget Request'!G7)+4</f>
        <v>FISCAL YEAR 2023/2024</v>
      </c>
      <c r="P8" s="162"/>
      <c r="Q8" s="162"/>
      <c r="R8" s="163"/>
      <c r="S8" s="29"/>
    </row>
    <row r="9" spans="2:19" ht="24.75" thickBot="1" x14ac:dyDescent="0.3">
      <c r="B9" s="43" t="s">
        <v>35</v>
      </c>
      <c r="C9" s="70" t="s">
        <v>91</v>
      </c>
      <c r="D9" s="70" t="s">
        <v>92</v>
      </c>
      <c r="E9" s="70" t="s">
        <v>93</v>
      </c>
      <c r="F9" s="70" t="s">
        <v>94</v>
      </c>
      <c r="G9" s="70" t="s">
        <v>95</v>
      </c>
      <c r="H9" s="70" t="s">
        <v>96</v>
      </c>
      <c r="I9" s="70" t="s">
        <v>98</v>
      </c>
      <c r="J9" s="70" t="s">
        <v>97</v>
      </c>
      <c r="K9" s="70" t="s">
        <v>100</v>
      </c>
      <c r="L9" s="70" t="s">
        <v>99</v>
      </c>
      <c r="M9" s="70" t="s">
        <v>101</v>
      </c>
      <c r="N9" s="70" t="s">
        <v>102</v>
      </c>
      <c r="O9" s="70" t="s">
        <v>103</v>
      </c>
      <c r="P9" s="70" t="s">
        <v>104</v>
      </c>
      <c r="Q9" s="70" t="s">
        <v>105</v>
      </c>
      <c r="R9" s="70" t="s">
        <v>106</v>
      </c>
      <c r="S9" s="98" t="s">
        <v>110</v>
      </c>
    </row>
    <row r="10" spans="2:19" ht="33" customHeight="1" thickBot="1" x14ac:dyDescent="0.3">
      <c r="B10" s="100" t="s">
        <v>33</v>
      </c>
      <c r="C10" s="52"/>
      <c r="D10" s="52"/>
      <c r="E10" s="52"/>
      <c r="F10" s="52"/>
      <c r="G10" s="52"/>
      <c r="H10" s="52"/>
      <c r="I10" s="52"/>
      <c r="J10" s="52"/>
      <c r="K10" s="52"/>
      <c r="L10" s="52"/>
      <c r="M10" s="52"/>
      <c r="N10" s="52"/>
      <c r="O10" s="52"/>
      <c r="P10" s="52"/>
      <c r="Q10" s="52"/>
      <c r="R10" s="52"/>
      <c r="S10" s="45">
        <f>SUM(C10:R10)</f>
        <v>0</v>
      </c>
    </row>
    <row r="11" spans="2:19" ht="45.75" thickBot="1" x14ac:dyDescent="0.3">
      <c r="B11" s="44" t="s">
        <v>111</v>
      </c>
      <c r="C11" s="96"/>
      <c r="D11" s="97"/>
      <c r="E11" s="97"/>
      <c r="F11" s="97"/>
      <c r="G11" s="97"/>
      <c r="H11" s="97"/>
      <c r="I11" s="97"/>
      <c r="J11" s="97"/>
      <c r="K11" s="97"/>
      <c r="L11" s="97"/>
      <c r="M11" s="97"/>
      <c r="N11" s="97"/>
      <c r="O11" s="97"/>
      <c r="P11" s="97"/>
      <c r="Q11" s="97"/>
      <c r="R11" s="97"/>
      <c r="S11" s="48">
        <f t="shared" ref="S11:S12" si="0">SUM(C11:R11)</f>
        <v>0</v>
      </c>
    </row>
    <row r="12" spans="2:19" ht="30.75" thickBot="1" x14ac:dyDescent="0.3">
      <c r="B12" s="44" t="s">
        <v>109</v>
      </c>
      <c r="C12" s="96"/>
      <c r="D12" s="97"/>
      <c r="E12" s="97"/>
      <c r="F12" s="97"/>
      <c r="G12" s="97"/>
      <c r="H12" s="97"/>
      <c r="I12" s="97"/>
      <c r="J12" s="97"/>
      <c r="K12" s="97"/>
      <c r="L12" s="97"/>
      <c r="M12" s="97"/>
      <c r="N12" s="97"/>
      <c r="O12" s="97"/>
      <c r="P12" s="97"/>
      <c r="Q12" s="97"/>
      <c r="R12" s="97"/>
      <c r="S12" s="48">
        <f t="shared" si="0"/>
        <v>0</v>
      </c>
    </row>
    <row r="13" spans="2:19" ht="15.75" thickBot="1" x14ac:dyDescent="0.3">
      <c r="B13" s="44" t="s">
        <v>108</v>
      </c>
      <c r="C13" s="46">
        <f>Budget[[#Totals],[Y1Q1
(Apr – Jun)]]</f>
        <v>0</v>
      </c>
      <c r="D13" s="47">
        <f>Budget[[#Totals],[Y1Q2
(Jul – Sep)]]</f>
        <v>0</v>
      </c>
      <c r="E13" s="47">
        <f>Budget[[#Totals],[Y1Q3
(Oct – Dec)]]</f>
        <v>0</v>
      </c>
      <c r="F13" s="47">
        <f>Budget[[#Totals],[Y1Q4
(Jan – Mar) ]]</f>
        <v>0</v>
      </c>
      <c r="G13" s="47">
        <f>Budget[[#Totals],[Y2Q1
(Apr – Jun)]]</f>
        <v>0</v>
      </c>
      <c r="H13" s="47">
        <f>Budget[[#Totals],[Y2Q2
(Jul – Sep)]]</f>
        <v>0</v>
      </c>
      <c r="I13" s="47">
        <f>Budget[[#Totals],[Y2Q3
(Oct – Dec)]]</f>
        <v>0</v>
      </c>
      <c r="J13" s="47">
        <f>Budget[[#Totals],[Y2Q4
(Jan – Mar) ]]</f>
        <v>0</v>
      </c>
      <c r="K13" s="47">
        <f>Budget[[#Totals],[Y3Q1
(Apr – Jun)]]</f>
        <v>0</v>
      </c>
      <c r="L13" s="47">
        <f>Budget[[#Totals],[Y3Q2
(Jul – Sep)]]</f>
        <v>0</v>
      </c>
      <c r="M13" s="47">
        <f>Budget[[#Totals],[Y3Q3
(Oct – Dec)]]</f>
        <v>0</v>
      </c>
      <c r="N13" s="47">
        <f>Budget[[#Totals],[Y3Q4
(Jan – Mar)]]</f>
        <v>0</v>
      </c>
      <c r="O13" s="47">
        <v>0</v>
      </c>
      <c r="P13" s="47">
        <v>0</v>
      </c>
      <c r="Q13" s="47">
        <v>0</v>
      </c>
      <c r="R13" s="47">
        <v>0</v>
      </c>
      <c r="S13" s="48">
        <f t="shared" ref="S13:S14" si="1">SUM(C13:R13)</f>
        <v>0</v>
      </c>
    </row>
    <row r="14" spans="2:19" ht="15.75" thickBot="1" x14ac:dyDescent="0.3">
      <c r="B14" s="44" t="s">
        <v>56</v>
      </c>
      <c r="C14" s="49">
        <f>C10-C13-C11+C12</f>
        <v>0</v>
      </c>
      <c r="D14" s="50">
        <f t="shared" ref="D14:R14" si="2">D10-D13-D11+D12</f>
        <v>0</v>
      </c>
      <c r="E14" s="50">
        <f t="shared" si="2"/>
        <v>0</v>
      </c>
      <c r="F14" s="50">
        <f t="shared" si="2"/>
        <v>0</v>
      </c>
      <c r="G14" s="50">
        <f t="shared" si="2"/>
        <v>0</v>
      </c>
      <c r="H14" s="50">
        <f t="shared" si="2"/>
        <v>0</v>
      </c>
      <c r="I14" s="50">
        <f t="shared" si="2"/>
        <v>0</v>
      </c>
      <c r="J14" s="50">
        <f t="shared" si="2"/>
        <v>0</v>
      </c>
      <c r="K14" s="50">
        <f t="shared" si="2"/>
        <v>0</v>
      </c>
      <c r="L14" s="50">
        <f t="shared" si="2"/>
        <v>0</v>
      </c>
      <c r="M14" s="50">
        <f t="shared" si="2"/>
        <v>0</v>
      </c>
      <c r="N14" s="50">
        <f t="shared" si="2"/>
        <v>0</v>
      </c>
      <c r="O14" s="50">
        <f t="shared" si="2"/>
        <v>0</v>
      </c>
      <c r="P14" s="50">
        <f t="shared" si="2"/>
        <v>0</v>
      </c>
      <c r="Q14" s="50">
        <f t="shared" si="2"/>
        <v>0</v>
      </c>
      <c r="R14" s="50">
        <f t="shared" si="2"/>
        <v>0</v>
      </c>
      <c r="S14" s="51">
        <f t="shared" si="1"/>
        <v>0</v>
      </c>
    </row>
    <row r="15" spans="2:19" ht="15.75" thickBot="1" x14ac:dyDescent="0.3"/>
    <row r="16" spans="2:19" ht="90" customHeight="1" thickBot="1" x14ac:dyDescent="0.3">
      <c r="B16" s="30" t="s">
        <v>34</v>
      </c>
      <c r="C16" s="174"/>
      <c r="D16" s="175"/>
      <c r="E16" s="175"/>
      <c r="F16" s="175"/>
      <c r="G16" s="175"/>
      <c r="H16" s="175"/>
      <c r="I16" s="175"/>
      <c r="J16" s="175"/>
      <c r="K16" s="175"/>
      <c r="L16" s="175"/>
      <c r="M16" s="175"/>
      <c r="N16" s="175"/>
      <c r="O16" s="175"/>
      <c r="P16" s="175"/>
      <c r="Q16" s="175"/>
      <c r="R16" s="175"/>
      <c r="S16" s="176"/>
    </row>
    <row r="17" spans="2:18" hidden="1" x14ac:dyDescent="0.25"/>
    <row r="18" spans="2:18" hidden="1" x14ac:dyDescent="0.25"/>
    <row r="19" spans="2:18" ht="15.75" hidden="1" thickBot="1" x14ac:dyDescent="0.3">
      <c r="C19" s="7" t="b">
        <f>'Budget Request'!C12</f>
        <v>0</v>
      </c>
      <c r="D19" s="7" t="b">
        <f>'Budget Request'!D12</f>
        <v>0</v>
      </c>
      <c r="E19" s="7" t="b">
        <f>'Budget Request'!E12</f>
        <v>0</v>
      </c>
      <c r="F19" s="7" t="b">
        <f>'Budget Request'!F12</f>
        <v>0</v>
      </c>
      <c r="G19" s="7" t="b">
        <f>'Budget Request'!G12</f>
        <v>0</v>
      </c>
      <c r="H19" s="7" t="b">
        <f>'Budget Request'!H12</f>
        <v>0</v>
      </c>
      <c r="I19" s="7" t="b">
        <f>'Budget Request'!I12</f>
        <v>0</v>
      </c>
      <c r="J19" s="7" t="b">
        <f>'Budget Request'!J12</f>
        <v>0</v>
      </c>
      <c r="K19" s="7" t="b">
        <f>'Budget Request'!K12</f>
        <v>0</v>
      </c>
      <c r="L19" s="7" t="b">
        <f>'Budget Request'!L12</f>
        <v>0</v>
      </c>
      <c r="M19" s="7" t="b">
        <f>'Budget Request'!M12</f>
        <v>0</v>
      </c>
      <c r="N19" s="7" t="b">
        <f>'Budget Request'!N12</f>
        <v>0</v>
      </c>
      <c r="O19" s="7" t="b">
        <f>N19</f>
        <v>0</v>
      </c>
      <c r="P19" s="7" t="b">
        <f t="shared" ref="P19:R19" si="3">O19</f>
        <v>0</v>
      </c>
      <c r="Q19" s="7" t="b">
        <f t="shared" si="3"/>
        <v>0</v>
      </c>
      <c r="R19" s="7" t="b">
        <f t="shared" si="3"/>
        <v>0</v>
      </c>
    </row>
    <row r="20" spans="2:18" ht="60" hidden="1" customHeight="1" thickBot="1" x14ac:dyDescent="0.3">
      <c r="B20" s="32" t="s">
        <v>37</v>
      </c>
      <c r="C20" s="32" t="s">
        <v>36</v>
      </c>
      <c r="E20" s="30" t="s">
        <v>38</v>
      </c>
      <c r="F20" s="34">
        <f>'Budget Request'!G7</f>
        <v>43922</v>
      </c>
      <c r="G20" s="7">
        <f>IF(OR(MONTH(F20)=1,MONTH(F20)=2,MONTH(F20)=3),YEAR(F20)-1,YEAR(F20))</f>
        <v>2020</v>
      </c>
      <c r="H20" s="35">
        <f>MATCH(F20,B21:B52,1)</f>
        <v>1</v>
      </c>
      <c r="I20" s="7" t="str">
        <f>"C"&amp;20+H20&amp;":C52"</f>
        <v>C21:C52</v>
      </c>
      <c r="J20" s="7" t="str">
        <f>"B"&amp;20+H20&amp;":B52"</f>
        <v>B21:B52</v>
      </c>
      <c r="K20" s="101">
        <f>VLOOKUP(F20,B21:B52,1,TRUE)</f>
        <v>43922</v>
      </c>
    </row>
    <row r="21" spans="2:18" ht="15.75" hidden="1" thickBot="1" x14ac:dyDescent="0.3">
      <c r="B21" s="33">
        <f>DATEVALUE("4/1/"&amp;$G$20)</f>
        <v>43922</v>
      </c>
      <c r="C21" s="7">
        <f>-Budget[[#Totals],[Y1Q1
(Apr – Jun)]]</f>
        <v>0</v>
      </c>
      <c r="D21" s="7">
        <f>C21</f>
        <v>0</v>
      </c>
      <c r="E21" s="36">
        <f>YEARFRAC($K$20,B21)</f>
        <v>0</v>
      </c>
      <c r="F21" s="31">
        <f t="shared" ref="F21:F52" si="4">-PV($C$61,E21,0,C21,1)</f>
        <v>0</v>
      </c>
      <c r="G21" s="31">
        <f>F21</f>
        <v>0</v>
      </c>
      <c r="H21" s="31"/>
      <c r="I21" s="102"/>
      <c r="J21" s="103">
        <f>IF(COUNTIF(K22:$K$53,"&lt;"&amp;0)&gt;0,0,1)</f>
        <v>1</v>
      </c>
      <c r="K21" s="103"/>
      <c r="L21" s="104">
        <f>E21</f>
        <v>0</v>
      </c>
      <c r="M21" s="105"/>
      <c r="O21" s="7">
        <f>100000-47351.91</f>
        <v>52648.09</v>
      </c>
    </row>
    <row r="22" spans="2:18" ht="15.75" hidden="1" thickBot="1" x14ac:dyDescent="0.3">
      <c r="B22" s="33">
        <f>DATEVALUE("6/30/"&amp;$G$20)</f>
        <v>44012</v>
      </c>
      <c r="C22" s="7">
        <f>'NPV, PP, ROI Analysis'!$C$10:$C$10-C11+C12</f>
        <v>0</v>
      </c>
      <c r="D22" s="7">
        <f>D21+C22</f>
        <v>0</v>
      </c>
      <c r="E22" s="36">
        <f t="shared" ref="E22:E52" si="5">YEARFRAC($K$20,B22)</f>
        <v>0.24722222222222223</v>
      </c>
      <c r="F22" s="31">
        <f t="shared" si="4"/>
        <v>0</v>
      </c>
      <c r="G22" s="31"/>
      <c r="H22" s="31">
        <f t="shared" ref="H22:H52" si="6">F22</f>
        <v>0</v>
      </c>
      <c r="I22" s="106">
        <f>B22</f>
        <v>44012</v>
      </c>
      <c r="J22" s="107">
        <f>IF(J21=0,IF(COUNTIF(K23:$K$53,"&lt;"&amp;0)&gt;0,0,1),2)</f>
        <v>2</v>
      </c>
      <c r="K22" s="108">
        <f>G53</f>
        <v>0</v>
      </c>
      <c r="L22" s="109">
        <f>L21+M22</f>
        <v>0.25</v>
      </c>
      <c r="M22" s="110">
        <f>IFERROR((-K22/H22)/4,0.25)</f>
        <v>0.25</v>
      </c>
    </row>
    <row r="23" spans="2:18" ht="15.75" hidden="1" thickBot="1" x14ac:dyDescent="0.3">
      <c r="B23" s="33">
        <f>DATEVALUE("7/1/"&amp;$G$20)</f>
        <v>44013</v>
      </c>
      <c r="C23" s="7">
        <f>-Budget[[#Totals],[Y1Q2
(Jul – Sep)]]</f>
        <v>0</v>
      </c>
      <c r="D23" s="7">
        <f t="shared" ref="D23:D52" si="7">D22+C23</f>
        <v>0</v>
      </c>
      <c r="E23" s="36">
        <f t="shared" si="5"/>
        <v>0.25</v>
      </c>
      <c r="F23" s="31">
        <f t="shared" si="4"/>
        <v>0</v>
      </c>
      <c r="G23" s="31">
        <f t="shared" ref="G23:G51" si="8">F23</f>
        <v>0</v>
      </c>
      <c r="H23" s="31"/>
      <c r="I23" s="106">
        <f t="shared" ref="I23:I53" si="9">B23</f>
        <v>44013</v>
      </c>
      <c r="J23" s="107">
        <f>IF(J22=0,IF(COUNTIF(K24:$K$53,"&lt;"&amp;0)&gt;0,0,1),2)</f>
        <v>2</v>
      </c>
      <c r="K23" s="108">
        <f>K22+H22</f>
        <v>0</v>
      </c>
      <c r="L23" s="109">
        <f>E23</f>
        <v>0.25</v>
      </c>
      <c r="M23" s="110"/>
    </row>
    <row r="24" spans="2:18" ht="15.75" hidden="1" thickBot="1" x14ac:dyDescent="0.3">
      <c r="B24" s="33">
        <f>DATEVALUE("9/30/"&amp;$G$20)</f>
        <v>44104</v>
      </c>
      <c r="C24" s="7">
        <f>'NPV, PP, ROI Analysis'!$D$10:$D$10-D11+D12</f>
        <v>0</v>
      </c>
      <c r="D24" s="7">
        <f t="shared" si="7"/>
        <v>0</v>
      </c>
      <c r="E24" s="36">
        <f t="shared" si="5"/>
        <v>0.49722222222222223</v>
      </c>
      <c r="F24" s="31">
        <f t="shared" si="4"/>
        <v>0</v>
      </c>
      <c r="G24" s="31"/>
      <c r="H24" s="31">
        <f t="shared" si="6"/>
        <v>0</v>
      </c>
      <c r="I24" s="106">
        <f t="shared" si="9"/>
        <v>44104</v>
      </c>
      <c r="J24" s="107">
        <f>IF(J23=0,IF(COUNTIF(K25:$K$53,"&lt;"&amp;0)&gt;0,0,1),2)</f>
        <v>2</v>
      </c>
      <c r="K24" s="108">
        <f t="shared" ref="K24:K53" si="10">K23+H23</f>
        <v>0</v>
      </c>
      <c r="L24" s="109">
        <f>L23+M24</f>
        <v>0.5</v>
      </c>
      <c r="M24" s="110">
        <f t="shared" ref="M24:M52" si="11">IFERROR((-K24/H24)/4,0.25)</f>
        <v>0.25</v>
      </c>
    </row>
    <row r="25" spans="2:18" ht="15.75" hidden="1" thickBot="1" x14ac:dyDescent="0.3">
      <c r="B25" s="33">
        <f>DATEVALUE("10/1/"&amp;$G$20)</f>
        <v>44105</v>
      </c>
      <c r="C25" s="7">
        <f>-Budget[[#Totals],[Y1Q3
(Oct – Dec)]]</f>
        <v>0</v>
      </c>
      <c r="D25" s="7">
        <f t="shared" si="7"/>
        <v>0</v>
      </c>
      <c r="E25" s="36">
        <f t="shared" si="5"/>
        <v>0.5</v>
      </c>
      <c r="F25" s="31">
        <f t="shared" si="4"/>
        <v>0</v>
      </c>
      <c r="G25" s="31">
        <f t="shared" si="8"/>
        <v>0</v>
      </c>
      <c r="H25" s="31"/>
      <c r="I25" s="106">
        <f t="shared" si="9"/>
        <v>44105</v>
      </c>
      <c r="J25" s="107">
        <f>IF(J24=0,IF(COUNTIF(K26:$K$53,"&lt;"&amp;0)&gt;0,0,1),2)</f>
        <v>2</v>
      </c>
      <c r="K25" s="108">
        <f t="shared" si="10"/>
        <v>0</v>
      </c>
      <c r="L25" s="109">
        <f>E25</f>
        <v>0.5</v>
      </c>
      <c r="M25" s="110"/>
    </row>
    <row r="26" spans="2:18" ht="15.75" hidden="1" thickBot="1" x14ac:dyDescent="0.3">
      <c r="B26" s="33">
        <f>DATEVALUE("12/31/"&amp;$G$20)</f>
        <v>44196</v>
      </c>
      <c r="C26" s="7">
        <f>'NPV, PP, ROI Analysis'!$E$10:$E$10-E11+E12</f>
        <v>0</v>
      </c>
      <c r="D26" s="7">
        <f t="shared" si="7"/>
        <v>0</v>
      </c>
      <c r="E26" s="36">
        <f t="shared" si="5"/>
        <v>0.75</v>
      </c>
      <c r="F26" s="31">
        <f t="shared" si="4"/>
        <v>0</v>
      </c>
      <c r="G26" s="31"/>
      <c r="H26" s="31">
        <f t="shared" si="6"/>
        <v>0</v>
      </c>
      <c r="I26" s="106">
        <f t="shared" si="9"/>
        <v>44196</v>
      </c>
      <c r="J26" s="107">
        <f>IF(J25=0,IF(COUNTIF(K27:$K$53,"&lt;"&amp;0)&gt;0,0,1),2)</f>
        <v>2</v>
      </c>
      <c r="K26" s="108">
        <f t="shared" si="10"/>
        <v>0</v>
      </c>
      <c r="L26" s="109">
        <f>L25+M26</f>
        <v>0.75</v>
      </c>
      <c r="M26" s="110">
        <f t="shared" si="11"/>
        <v>0.25</v>
      </c>
    </row>
    <row r="27" spans="2:18" ht="15.75" hidden="1" thickBot="1" x14ac:dyDescent="0.3">
      <c r="B27" s="33">
        <f>DATEVALUE("1/1/"&amp;$G$20+1)</f>
        <v>44197</v>
      </c>
      <c r="C27" s="7">
        <f>-Budget[[#Totals],[Y1Q4
(Jan – Mar) ]]</f>
        <v>0</v>
      </c>
      <c r="D27" s="7">
        <f t="shared" si="7"/>
        <v>0</v>
      </c>
      <c r="E27" s="36">
        <f t="shared" si="5"/>
        <v>0.75</v>
      </c>
      <c r="F27" s="31">
        <f t="shared" si="4"/>
        <v>0</v>
      </c>
      <c r="G27" s="31">
        <f t="shared" si="8"/>
        <v>0</v>
      </c>
      <c r="H27" s="31"/>
      <c r="I27" s="106">
        <f t="shared" si="9"/>
        <v>44197</v>
      </c>
      <c r="J27" s="107">
        <f>IF(J26=0,IF(COUNTIF(K28:$K$53,"&lt;"&amp;0)&gt;0,0,1),2)</f>
        <v>2</v>
      </c>
      <c r="K27" s="108">
        <f t="shared" si="10"/>
        <v>0</v>
      </c>
      <c r="L27" s="109">
        <f>E27</f>
        <v>0.75</v>
      </c>
      <c r="M27" s="110"/>
    </row>
    <row r="28" spans="2:18" ht="15.75" hidden="1" thickBot="1" x14ac:dyDescent="0.3">
      <c r="B28" s="33">
        <f>DATEVALUE("3/31/"&amp;$G$20+1)</f>
        <v>44286</v>
      </c>
      <c r="C28" s="7">
        <f>'NPV, PP, ROI Analysis'!$F$10:$F$10-F11+F12</f>
        <v>0</v>
      </c>
      <c r="D28" s="7">
        <f t="shared" si="7"/>
        <v>0</v>
      </c>
      <c r="E28" s="36">
        <f t="shared" si="5"/>
        <v>1</v>
      </c>
      <c r="F28" s="31">
        <f>-PV($C$61,E28,0,C28,1)</f>
        <v>0</v>
      </c>
      <c r="G28" s="31"/>
      <c r="H28" s="31">
        <f t="shared" si="6"/>
        <v>0</v>
      </c>
      <c r="I28" s="106">
        <f t="shared" si="9"/>
        <v>44286</v>
      </c>
      <c r="J28" s="107">
        <f>IF(J27=0,IF(COUNTIF(K29:$K$53,"&lt;"&amp;0)&gt;0,0,1),2)</f>
        <v>2</v>
      </c>
      <c r="K28" s="108">
        <f t="shared" si="10"/>
        <v>0</v>
      </c>
      <c r="L28" s="109">
        <f>L27+M28</f>
        <v>1</v>
      </c>
      <c r="M28" s="110">
        <f t="shared" si="11"/>
        <v>0.25</v>
      </c>
    </row>
    <row r="29" spans="2:18" ht="15.75" hidden="1" thickBot="1" x14ac:dyDescent="0.3">
      <c r="B29" s="33">
        <f>DATEVALUE("4/1/"&amp;$G$20+1)</f>
        <v>44287</v>
      </c>
      <c r="C29" s="7">
        <f>-Budget[[#Totals],[Y2Q1
(Apr – Jun)]]</f>
        <v>0</v>
      </c>
      <c r="D29" s="7">
        <f t="shared" si="7"/>
        <v>0</v>
      </c>
      <c r="E29" s="36">
        <f t="shared" si="5"/>
        <v>1</v>
      </c>
      <c r="F29" s="31">
        <f t="shared" si="4"/>
        <v>0</v>
      </c>
      <c r="G29" s="31">
        <f t="shared" si="8"/>
        <v>0</v>
      </c>
      <c r="H29" s="31"/>
      <c r="I29" s="106">
        <f t="shared" si="9"/>
        <v>44287</v>
      </c>
      <c r="J29" s="107">
        <f>IF(J28=0,IF(COUNTIF(K30:$K$53,"&lt;"&amp;0)&gt;0,0,1),2)</f>
        <v>2</v>
      </c>
      <c r="K29" s="108">
        <f t="shared" si="10"/>
        <v>0</v>
      </c>
      <c r="L29" s="109">
        <f>E29</f>
        <v>1</v>
      </c>
      <c r="M29" s="110"/>
    </row>
    <row r="30" spans="2:18" ht="15.75" hidden="1" thickBot="1" x14ac:dyDescent="0.3">
      <c r="B30" s="33">
        <f>DATEVALUE("6/30/"&amp;$G$20+1)</f>
        <v>44377</v>
      </c>
      <c r="C30" s="7">
        <f>'NPV, PP, ROI Analysis'!$G$10:$G$10-G11+G12</f>
        <v>0</v>
      </c>
      <c r="D30" s="7">
        <f t="shared" si="7"/>
        <v>0</v>
      </c>
      <c r="E30" s="36">
        <f t="shared" si="5"/>
        <v>1.2472222222222222</v>
      </c>
      <c r="F30" s="31">
        <f t="shared" si="4"/>
        <v>0</v>
      </c>
      <c r="G30" s="31"/>
      <c r="H30" s="31">
        <f t="shared" si="6"/>
        <v>0</v>
      </c>
      <c r="I30" s="106">
        <f t="shared" si="9"/>
        <v>44377</v>
      </c>
      <c r="J30" s="107">
        <f>IF(J29=0,IF(COUNTIF(K31:$K$53,"&lt;"&amp;0)&gt;0,0,1),2)</f>
        <v>2</v>
      </c>
      <c r="K30" s="108">
        <f t="shared" si="10"/>
        <v>0</v>
      </c>
      <c r="L30" s="109">
        <f>L29+M30</f>
        <v>1.25</v>
      </c>
      <c r="M30" s="110">
        <f t="shared" si="11"/>
        <v>0.25</v>
      </c>
    </row>
    <row r="31" spans="2:18" ht="15.75" hidden="1" thickBot="1" x14ac:dyDescent="0.3">
      <c r="B31" s="33">
        <f>DATEVALUE("7/1/"&amp;$G$20+1)</f>
        <v>44378</v>
      </c>
      <c r="C31" s="7">
        <f>-Budget[[#Totals],[Y2Q2
(Jul – Sep)]]</f>
        <v>0</v>
      </c>
      <c r="D31" s="7">
        <f t="shared" si="7"/>
        <v>0</v>
      </c>
      <c r="E31" s="36">
        <f t="shared" si="5"/>
        <v>1.25</v>
      </c>
      <c r="F31" s="31">
        <f t="shared" si="4"/>
        <v>0</v>
      </c>
      <c r="G31" s="31">
        <f t="shared" si="8"/>
        <v>0</v>
      </c>
      <c r="H31" s="31"/>
      <c r="I31" s="106">
        <f t="shared" si="9"/>
        <v>44378</v>
      </c>
      <c r="J31" s="107">
        <f>IF(J30=0,IF(COUNTIF(K32:$K$53,"&lt;"&amp;0)&gt;0,0,1),2)</f>
        <v>2</v>
      </c>
      <c r="K31" s="108">
        <f t="shared" si="10"/>
        <v>0</v>
      </c>
      <c r="L31" s="109">
        <f>E31</f>
        <v>1.25</v>
      </c>
      <c r="M31" s="110"/>
    </row>
    <row r="32" spans="2:18" ht="15.75" hidden="1" thickBot="1" x14ac:dyDescent="0.3">
      <c r="B32" s="33">
        <f>DATEVALUE("9/30/"&amp;$G$20+1)</f>
        <v>44469</v>
      </c>
      <c r="C32" s="7">
        <f>'NPV, PP, ROI Analysis'!$H$10:$H$10-H11+H12</f>
        <v>0</v>
      </c>
      <c r="D32" s="7">
        <f t="shared" si="7"/>
        <v>0</v>
      </c>
      <c r="E32" s="36">
        <f t="shared" si="5"/>
        <v>1.4972222222222222</v>
      </c>
      <c r="F32" s="31">
        <f t="shared" si="4"/>
        <v>0</v>
      </c>
      <c r="G32" s="31"/>
      <c r="H32" s="31">
        <f t="shared" si="6"/>
        <v>0</v>
      </c>
      <c r="I32" s="106">
        <f t="shared" si="9"/>
        <v>44469</v>
      </c>
      <c r="J32" s="107">
        <f>IF(J31=0,IF(COUNTIF(K33:$K$53,"&lt;"&amp;0)&gt;0,0,1),2)</f>
        <v>2</v>
      </c>
      <c r="K32" s="108">
        <f t="shared" si="10"/>
        <v>0</v>
      </c>
      <c r="L32" s="109">
        <f>L31+M32</f>
        <v>1.5</v>
      </c>
      <c r="M32" s="110">
        <f t="shared" si="11"/>
        <v>0.25</v>
      </c>
    </row>
    <row r="33" spans="2:13" ht="15.75" hidden="1" thickBot="1" x14ac:dyDescent="0.3">
      <c r="B33" s="33">
        <f>DATEVALUE("10/1/"&amp;$G$20+1)</f>
        <v>44470</v>
      </c>
      <c r="C33" s="7">
        <f>-Budget[[#Totals],[Y2Q3
(Oct – Dec)]]</f>
        <v>0</v>
      </c>
      <c r="D33" s="7">
        <f t="shared" si="7"/>
        <v>0</v>
      </c>
      <c r="E33" s="36">
        <f t="shared" si="5"/>
        <v>1.5</v>
      </c>
      <c r="F33" s="31">
        <f t="shared" si="4"/>
        <v>0</v>
      </c>
      <c r="G33" s="31">
        <f t="shared" si="8"/>
        <v>0</v>
      </c>
      <c r="H33" s="31"/>
      <c r="I33" s="106">
        <f t="shared" si="9"/>
        <v>44470</v>
      </c>
      <c r="J33" s="107">
        <f>IF(J32=0,IF(COUNTIF(K34:$K$53,"&lt;"&amp;0)&gt;0,0,1),2)</f>
        <v>2</v>
      </c>
      <c r="K33" s="108">
        <f t="shared" si="10"/>
        <v>0</v>
      </c>
      <c r="L33" s="109">
        <f>E33</f>
        <v>1.5</v>
      </c>
      <c r="M33" s="110"/>
    </row>
    <row r="34" spans="2:13" ht="15.75" hidden="1" thickBot="1" x14ac:dyDescent="0.3">
      <c r="B34" s="33">
        <f>DATEVALUE("12/31/"&amp;$G$20+1)</f>
        <v>44561</v>
      </c>
      <c r="C34" s="7">
        <f>'NPV, PP, ROI Analysis'!$I$10:$I$10-I11+I12</f>
        <v>0</v>
      </c>
      <c r="D34" s="7">
        <f t="shared" si="7"/>
        <v>0</v>
      </c>
      <c r="E34" s="36">
        <f t="shared" si="5"/>
        <v>1.75</v>
      </c>
      <c r="F34" s="31">
        <f t="shared" si="4"/>
        <v>0</v>
      </c>
      <c r="G34" s="31"/>
      <c r="H34" s="31">
        <f t="shared" si="6"/>
        <v>0</v>
      </c>
      <c r="I34" s="106">
        <f t="shared" si="9"/>
        <v>44561</v>
      </c>
      <c r="J34" s="107">
        <f>IF(J33=0,IF(COUNTIF(K35:$K$53,"&lt;"&amp;0)&gt;0,0,1),2)</f>
        <v>2</v>
      </c>
      <c r="K34" s="108">
        <f t="shared" si="10"/>
        <v>0</v>
      </c>
      <c r="L34" s="109">
        <f>L33+M34</f>
        <v>1.75</v>
      </c>
      <c r="M34" s="110">
        <f t="shared" si="11"/>
        <v>0.25</v>
      </c>
    </row>
    <row r="35" spans="2:13" ht="15.75" hidden="1" thickBot="1" x14ac:dyDescent="0.3">
      <c r="B35" s="33">
        <f>DATEVALUE("1/1/"&amp;$G$20+2)</f>
        <v>44562</v>
      </c>
      <c r="C35" s="7">
        <f>-Budget[[#Totals],[Y2Q4
(Jan – Mar) ]]</f>
        <v>0</v>
      </c>
      <c r="D35" s="7">
        <f t="shared" si="7"/>
        <v>0</v>
      </c>
      <c r="E35" s="36">
        <f t="shared" si="5"/>
        <v>1.75</v>
      </c>
      <c r="F35" s="31">
        <f t="shared" si="4"/>
        <v>0</v>
      </c>
      <c r="G35" s="31">
        <f t="shared" si="8"/>
        <v>0</v>
      </c>
      <c r="H35" s="31"/>
      <c r="I35" s="106">
        <f t="shared" si="9"/>
        <v>44562</v>
      </c>
      <c r="J35" s="107">
        <f>IF(J34=0,IF(COUNTIF(K36:$K$53,"&lt;"&amp;0)&gt;0,0,1),2)</f>
        <v>2</v>
      </c>
      <c r="K35" s="108">
        <f t="shared" si="10"/>
        <v>0</v>
      </c>
      <c r="L35" s="109">
        <f>E35</f>
        <v>1.75</v>
      </c>
      <c r="M35" s="110"/>
    </row>
    <row r="36" spans="2:13" ht="15.75" hidden="1" thickBot="1" x14ac:dyDescent="0.3">
      <c r="B36" s="33">
        <f>DATEVALUE("3/31/"&amp;$G$20+2)</f>
        <v>44651</v>
      </c>
      <c r="C36" s="7">
        <f>'NPV, PP, ROI Analysis'!$J$10:$J$10-J11+J12</f>
        <v>0</v>
      </c>
      <c r="D36" s="7">
        <f t="shared" si="7"/>
        <v>0</v>
      </c>
      <c r="E36" s="36">
        <f t="shared" si="5"/>
        <v>2</v>
      </c>
      <c r="F36" s="31">
        <f t="shared" si="4"/>
        <v>0</v>
      </c>
      <c r="G36" s="31"/>
      <c r="H36" s="31">
        <f t="shared" si="6"/>
        <v>0</v>
      </c>
      <c r="I36" s="106">
        <f t="shared" si="9"/>
        <v>44651</v>
      </c>
      <c r="J36" s="107">
        <f>IF(J35=0,IF(COUNTIF(K37:$K$53,"&lt;"&amp;0)&gt;0,0,1),2)</f>
        <v>2</v>
      </c>
      <c r="K36" s="108">
        <f t="shared" si="10"/>
        <v>0</v>
      </c>
      <c r="L36" s="109">
        <f>L35+M36</f>
        <v>2</v>
      </c>
      <c r="M36" s="110">
        <f t="shared" si="11"/>
        <v>0.25</v>
      </c>
    </row>
    <row r="37" spans="2:13" ht="15.75" hidden="1" thickBot="1" x14ac:dyDescent="0.3">
      <c r="B37" s="33">
        <f>DATEVALUE("4/1/"&amp;$G$20+2)</f>
        <v>44652</v>
      </c>
      <c r="C37" s="7">
        <f>-Budget[[#Totals],[Y3Q1
(Apr – Jun)]]</f>
        <v>0</v>
      </c>
      <c r="D37" s="7">
        <f t="shared" si="7"/>
        <v>0</v>
      </c>
      <c r="E37" s="36">
        <f t="shared" si="5"/>
        <v>2</v>
      </c>
      <c r="F37" s="31">
        <f t="shared" si="4"/>
        <v>0</v>
      </c>
      <c r="G37" s="31">
        <f t="shared" si="8"/>
        <v>0</v>
      </c>
      <c r="H37" s="31"/>
      <c r="I37" s="106">
        <f t="shared" si="9"/>
        <v>44652</v>
      </c>
      <c r="J37" s="107">
        <f>IF(J36=0,IF(COUNTIF(K38:$K$53,"&lt;"&amp;0)&gt;0,0,1),2)</f>
        <v>2</v>
      </c>
      <c r="K37" s="108">
        <f t="shared" si="10"/>
        <v>0</v>
      </c>
      <c r="L37" s="109">
        <f>E37</f>
        <v>2</v>
      </c>
      <c r="M37" s="110"/>
    </row>
    <row r="38" spans="2:13" ht="15.75" hidden="1" thickBot="1" x14ac:dyDescent="0.3">
      <c r="B38" s="33">
        <f>DATEVALUE("6/30/"&amp;$G$20+2)</f>
        <v>44742</v>
      </c>
      <c r="C38" s="7">
        <f>'NPV, PP, ROI Analysis'!$K$10:$K$10-K11+K12</f>
        <v>0</v>
      </c>
      <c r="D38" s="7">
        <f t="shared" si="7"/>
        <v>0</v>
      </c>
      <c r="E38" s="36">
        <f t="shared" si="5"/>
        <v>2.2472222222222222</v>
      </c>
      <c r="F38" s="31">
        <f t="shared" si="4"/>
        <v>0</v>
      </c>
      <c r="G38" s="31"/>
      <c r="H38" s="31">
        <f t="shared" si="6"/>
        <v>0</v>
      </c>
      <c r="I38" s="106">
        <f t="shared" si="9"/>
        <v>44742</v>
      </c>
      <c r="J38" s="107">
        <f>IF(J37=0,IF(COUNTIF(K39:$K$53,"&lt;"&amp;0)&gt;0,0,1),2)</f>
        <v>2</v>
      </c>
      <c r="K38" s="108">
        <f t="shared" si="10"/>
        <v>0</v>
      </c>
      <c r="L38" s="109">
        <f>L37+M38</f>
        <v>2.25</v>
      </c>
      <c r="M38" s="110">
        <f t="shared" si="11"/>
        <v>0.25</v>
      </c>
    </row>
    <row r="39" spans="2:13" ht="15.75" hidden="1" thickBot="1" x14ac:dyDescent="0.3">
      <c r="B39" s="33">
        <f>DATEVALUE("7/1/"&amp;$G$20+2)</f>
        <v>44743</v>
      </c>
      <c r="C39" s="7">
        <f>-Budget[[#Totals],[Y3Q2
(Jul – Sep)]]</f>
        <v>0</v>
      </c>
      <c r="D39" s="7">
        <f t="shared" si="7"/>
        <v>0</v>
      </c>
      <c r="E39" s="36">
        <f t="shared" si="5"/>
        <v>2.25</v>
      </c>
      <c r="F39" s="31">
        <f t="shared" si="4"/>
        <v>0</v>
      </c>
      <c r="G39" s="31">
        <f t="shared" si="8"/>
        <v>0</v>
      </c>
      <c r="H39" s="31"/>
      <c r="I39" s="106">
        <f t="shared" si="9"/>
        <v>44743</v>
      </c>
      <c r="J39" s="107">
        <f>IF(J38=0,IF(COUNTIF(K40:$K$53,"&lt;"&amp;0)&gt;0,0,1),2)</f>
        <v>2</v>
      </c>
      <c r="K39" s="108">
        <f t="shared" si="10"/>
        <v>0</v>
      </c>
      <c r="L39" s="109">
        <f>E39</f>
        <v>2.25</v>
      </c>
      <c r="M39" s="110"/>
    </row>
    <row r="40" spans="2:13" ht="15.75" hidden="1" thickBot="1" x14ac:dyDescent="0.3">
      <c r="B40" s="33">
        <f>DATEVALUE("9/30/"&amp;$G$20+2)</f>
        <v>44834</v>
      </c>
      <c r="C40" s="7">
        <f>'NPV, PP, ROI Analysis'!$L$10:$L$10-L11+L12</f>
        <v>0</v>
      </c>
      <c r="D40" s="7">
        <f t="shared" si="7"/>
        <v>0</v>
      </c>
      <c r="E40" s="36">
        <f t="shared" si="5"/>
        <v>2.4972222222222222</v>
      </c>
      <c r="F40" s="31">
        <f t="shared" si="4"/>
        <v>0</v>
      </c>
      <c r="G40" s="31"/>
      <c r="H40" s="31">
        <f t="shared" si="6"/>
        <v>0</v>
      </c>
      <c r="I40" s="106">
        <f t="shared" si="9"/>
        <v>44834</v>
      </c>
      <c r="J40" s="107">
        <f>IF(J39=0,IF(COUNTIF(K41:$K$53,"&lt;"&amp;0)&gt;0,0,1),2)</f>
        <v>2</v>
      </c>
      <c r="K40" s="108">
        <f t="shared" si="10"/>
        <v>0</v>
      </c>
      <c r="L40" s="109">
        <f>L39+M40</f>
        <v>2.5</v>
      </c>
      <c r="M40" s="110">
        <f t="shared" si="11"/>
        <v>0.25</v>
      </c>
    </row>
    <row r="41" spans="2:13" ht="15.75" hidden="1" thickBot="1" x14ac:dyDescent="0.3">
      <c r="B41" s="33">
        <f>DATEVALUE("10/1/"&amp;$G$20+2)</f>
        <v>44835</v>
      </c>
      <c r="C41" s="7">
        <f>-Budget[[#Totals],[Y3Q3
(Oct – Dec)]]</f>
        <v>0</v>
      </c>
      <c r="D41" s="7">
        <f t="shared" si="7"/>
        <v>0</v>
      </c>
      <c r="E41" s="36">
        <f t="shared" si="5"/>
        <v>2.5</v>
      </c>
      <c r="F41" s="31">
        <f t="shared" si="4"/>
        <v>0</v>
      </c>
      <c r="G41" s="31">
        <f t="shared" si="8"/>
        <v>0</v>
      </c>
      <c r="H41" s="31"/>
      <c r="I41" s="106">
        <f t="shared" si="9"/>
        <v>44835</v>
      </c>
      <c r="J41" s="107">
        <f>IF(J40=0,IF(COUNTIF(K42:$K$53,"&lt;"&amp;0)&gt;0,0,1),2)</f>
        <v>2</v>
      </c>
      <c r="K41" s="108">
        <f t="shared" si="10"/>
        <v>0</v>
      </c>
      <c r="L41" s="109">
        <f>E41</f>
        <v>2.5</v>
      </c>
      <c r="M41" s="110"/>
    </row>
    <row r="42" spans="2:13" ht="15.75" hidden="1" thickBot="1" x14ac:dyDescent="0.3">
      <c r="B42" s="33">
        <f>DATEVALUE("12/31/"&amp;$G$20+2)</f>
        <v>44926</v>
      </c>
      <c r="C42" s="7">
        <f>'NPV, PP, ROI Analysis'!$M$10:$M$10-M11+M12</f>
        <v>0</v>
      </c>
      <c r="D42" s="7">
        <f t="shared" si="7"/>
        <v>0</v>
      </c>
      <c r="E42" s="36">
        <f t="shared" si="5"/>
        <v>2.75</v>
      </c>
      <c r="F42" s="31">
        <f t="shared" si="4"/>
        <v>0</v>
      </c>
      <c r="G42" s="31"/>
      <c r="H42" s="31">
        <f t="shared" si="6"/>
        <v>0</v>
      </c>
      <c r="I42" s="106">
        <f t="shared" si="9"/>
        <v>44926</v>
      </c>
      <c r="J42" s="107">
        <f>IF(J41=0,IF(COUNTIF(K43:$K$53,"&lt;"&amp;0)&gt;0,0,1),2)</f>
        <v>2</v>
      </c>
      <c r="K42" s="108">
        <f t="shared" si="10"/>
        <v>0</v>
      </c>
      <c r="L42" s="109">
        <f>L41+M42</f>
        <v>2.75</v>
      </c>
      <c r="M42" s="110">
        <f t="shared" si="11"/>
        <v>0.25</v>
      </c>
    </row>
    <row r="43" spans="2:13" ht="15.75" hidden="1" thickBot="1" x14ac:dyDescent="0.3">
      <c r="B43" s="33">
        <f>DATEVALUE("1/1/"&amp;$G$20+3)</f>
        <v>44927</v>
      </c>
      <c r="C43" s="7">
        <f>-Budget[[#Totals],[Y3Q4
(Jan – Mar)]]</f>
        <v>0</v>
      </c>
      <c r="D43" s="7">
        <f t="shared" si="7"/>
        <v>0</v>
      </c>
      <c r="E43" s="36">
        <f t="shared" si="5"/>
        <v>2.75</v>
      </c>
      <c r="F43" s="31">
        <f t="shared" si="4"/>
        <v>0</v>
      </c>
      <c r="G43" s="31">
        <f t="shared" si="8"/>
        <v>0</v>
      </c>
      <c r="H43" s="31"/>
      <c r="I43" s="106">
        <f t="shared" si="9"/>
        <v>44927</v>
      </c>
      <c r="J43" s="107">
        <f>IF(J42=0,IF(COUNTIF(K44:$K$53,"&lt;"&amp;0)&gt;0,0,1),2)</f>
        <v>2</v>
      </c>
      <c r="K43" s="108">
        <f t="shared" si="10"/>
        <v>0</v>
      </c>
      <c r="L43" s="109">
        <f>E43</f>
        <v>2.75</v>
      </c>
      <c r="M43" s="110"/>
    </row>
    <row r="44" spans="2:13" ht="15.75" hidden="1" thickBot="1" x14ac:dyDescent="0.3">
      <c r="B44" s="33">
        <f>DATEVALUE("3/31/"&amp;$G$20+3)</f>
        <v>45016</v>
      </c>
      <c r="C44" s="7">
        <f>'NPV, PP, ROI Analysis'!$N$10:$N$10-N11+N12</f>
        <v>0</v>
      </c>
      <c r="D44" s="7">
        <f t="shared" si="7"/>
        <v>0</v>
      </c>
      <c r="E44" s="36">
        <f t="shared" si="5"/>
        <v>3</v>
      </c>
      <c r="F44" s="31">
        <f t="shared" si="4"/>
        <v>0</v>
      </c>
      <c r="G44" s="31"/>
      <c r="H44" s="31">
        <f t="shared" si="6"/>
        <v>0</v>
      </c>
      <c r="I44" s="106">
        <f t="shared" si="9"/>
        <v>45016</v>
      </c>
      <c r="J44" s="107">
        <f>IF(J43=0,IF(COUNTIF(K45:$K$53,"&lt;"&amp;0)&gt;0,0,1),2)</f>
        <v>2</v>
      </c>
      <c r="K44" s="108">
        <f t="shared" si="10"/>
        <v>0</v>
      </c>
      <c r="L44" s="109">
        <f>L43+M44</f>
        <v>3</v>
      </c>
      <c r="M44" s="110">
        <f t="shared" si="11"/>
        <v>0.25</v>
      </c>
    </row>
    <row r="45" spans="2:13" ht="15.75" hidden="1" thickBot="1" x14ac:dyDescent="0.3">
      <c r="B45" s="33">
        <f>DATEVALUE("4/1/"&amp;$G$20+3)</f>
        <v>45017</v>
      </c>
      <c r="C45" s="7">
        <v>0</v>
      </c>
      <c r="D45" s="7">
        <f t="shared" si="7"/>
        <v>0</v>
      </c>
      <c r="E45" s="36">
        <f t="shared" si="5"/>
        <v>3</v>
      </c>
      <c r="F45" s="31">
        <f t="shared" si="4"/>
        <v>0</v>
      </c>
      <c r="G45" s="31">
        <f t="shared" si="8"/>
        <v>0</v>
      </c>
      <c r="H45" s="31"/>
      <c r="I45" s="106">
        <f t="shared" si="9"/>
        <v>45017</v>
      </c>
      <c r="J45" s="107">
        <f>IF(J44=0,IF(COUNTIF(K46:$K$53,"&lt;"&amp;0)&gt;0,0,1),2)</f>
        <v>2</v>
      </c>
      <c r="K45" s="108">
        <f t="shared" si="10"/>
        <v>0</v>
      </c>
      <c r="L45" s="109">
        <f>E45</f>
        <v>3</v>
      </c>
      <c r="M45" s="110"/>
    </row>
    <row r="46" spans="2:13" ht="15.75" hidden="1" thickBot="1" x14ac:dyDescent="0.3">
      <c r="B46" s="33">
        <f>DATEVALUE("6/30/"&amp;$G$20+3)</f>
        <v>45107</v>
      </c>
      <c r="C46" s="7">
        <f>'NPV, PP, ROI Analysis'!$O$10:$O$10-O11+O12</f>
        <v>0</v>
      </c>
      <c r="D46" s="7">
        <f t="shared" si="7"/>
        <v>0</v>
      </c>
      <c r="E46" s="36">
        <f t="shared" si="5"/>
        <v>3.2472222222222222</v>
      </c>
      <c r="F46" s="31">
        <f t="shared" si="4"/>
        <v>0</v>
      </c>
      <c r="G46" s="31"/>
      <c r="H46" s="31">
        <f t="shared" si="6"/>
        <v>0</v>
      </c>
      <c r="I46" s="106">
        <f t="shared" si="9"/>
        <v>45107</v>
      </c>
      <c r="J46" s="107">
        <f>IF(J45=0,IF(COUNTIF(K47:$K$53,"&lt;"&amp;0)&gt;0,0,1),2)</f>
        <v>2</v>
      </c>
      <c r="K46" s="108">
        <f t="shared" si="10"/>
        <v>0</v>
      </c>
      <c r="L46" s="109">
        <f>L45+M46</f>
        <v>3.25</v>
      </c>
      <c r="M46" s="110">
        <f t="shared" si="11"/>
        <v>0.25</v>
      </c>
    </row>
    <row r="47" spans="2:13" ht="15.75" hidden="1" thickBot="1" x14ac:dyDescent="0.3">
      <c r="B47" s="33">
        <f>DATEVALUE("7/1/"&amp;$G$20+3)</f>
        <v>45108</v>
      </c>
      <c r="C47" s="7">
        <v>0</v>
      </c>
      <c r="D47" s="7">
        <f t="shared" si="7"/>
        <v>0</v>
      </c>
      <c r="E47" s="36">
        <f t="shared" si="5"/>
        <v>3.25</v>
      </c>
      <c r="F47" s="31">
        <f t="shared" si="4"/>
        <v>0</v>
      </c>
      <c r="G47" s="31">
        <f t="shared" si="8"/>
        <v>0</v>
      </c>
      <c r="H47" s="31"/>
      <c r="I47" s="106">
        <f t="shared" si="9"/>
        <v>45108</v>
      </c>
      <c r="J47" s="107">
        <f>IF(J46=0,IF(COUNTIF(K48:$K$53,"&lt;"&amp;0)&gt;0,0,1),2)</f>
        <v>2</v>
      </c>
      <c r="K47" s="108">
        <f t="shared" si="10"/>
        <v>0</v>
      </c>
      <c r="L47" s="109">
        <f>E47</f>
        <v>3.25</v>
      </c>
      <c r="M47" s="110"/>
    </row>
    <row r="48" spans="2:13" ht="15.75" hidden="1" thickBot="1" x14ac:dyDescent="0.3">
      <c r="B48" s="33">
        <f>DATEVALUE("9/30/"&amp;$G$20+3)</f>
        <v>45199</v>
      </c>
      <c r="C48" s="7">
        <f>'NPV, PP, ROI Analysis'!$P$10:$P$10-P11+P12</f>
        <v>0</v>
      </c>
      <c r="D48" s="7">
        <f t="shared" si="7"/>
        <v>0</v>
      </c>
      <c r="E48" s="36">
        <f t="shared" si="5"/>
        <v>3.4972222222222222</v>
      </c>
      <c r="F48" s="31">
        <f t="shared" si="4"/>
        <v>0</v>
      </c>
      <c r="G48" s="31"/>
      <c r="H48" s="31">
        <f t="shared" si="6"/>
        <v>0</v>
      </c>
      <c r="I48" s="106">
        <f t="shared" si="9"/>
        <v>45199</v>
      </c>
      <c r="J48" s="107">
        <f>IF(J47=0,IF(COUNTIF(K49:$K$53,"&lt;"&amp;0)&gt;0,0,1),2)</f>
        <v>2</v>
      </c>
      <c r="K48" s="108">
        <f t="shared" si="10"/>
        <v>0</v>
      </c>
      <c r="L48" s="109">
        <f>L47+M48</f>
        <v>3.5</v>
      </c>
      <c r="M48" s="110">
        <f t="shared" si="11"/>
        <v>0.25</v>
      </c>
    </row>
    <row r="49" spans="2:13" ht="15.75" hidden="1" thickBot="1" x14ac:dyDescent="0.3">
      <c r="B49" s="33">
        <f>DATEVALUE("10/1/"&amp;$G$20+3)</f>
        <v>45200</v>
      </c>
      <c r="C49" s="7">
        <v>0</v>
      </c>
      <c r="D49" s="7">
        <f t="shared" si="7"/>
        <v>0</v>
      </c>
      <c r="E49" s="36">
        <f t="shared" si="5"/>
        <v>3.5</v>
      </c>
      <c r="F49" s="31">
        <f t="shared" si="4"/>
        <v>0</v>
      </c>
      <c r="G49" s="31">
        <f t="shared" si="8"/>
        <v>0</v>
      </c>
      <c r="H49" s="31"/>
      <c r="I49" s="106">
        <f t="shared" si="9"/>
        <v>45200</v>
      </c>
      <c r="J49" s="107">
        <f>IF(J48=0,IF(COUNTIF(K50:$K$53,"&lt;"&amp;0)&gt;0,0,1),2)</f>
        <v>2</v>
      </c>
      <c r="K49" s="108">
        <f t="shared" si="10"/>
        <v>0</v>
      </c>
      <c r="L49" s="109">
        <f>E49</f>
        <v>3.5</v>
      </c>
      <c r="M49" s="110"/>
    </row>
    <row r="50" spans="2:13" ht="15.75" hidden="1" thickBot="1" x14ac:dyDescent="0.3">
      <c r="B50" s="33">
        <f>DATEVALUE("12/31/"&amp;$G$20+3)</f>
        <v>45291</v>
      </c>
      <c r="C50" s="7">
        <f>'NPV, PP, ROI Analysis'!$Q$10:$Q$10-Q11+Q12</f>
        <v>0</v>
      </c>
      <c r="D50" s="7">
        <f t="shared" si="7"/>
        <v>0</v>
      </c>
      <c r="E50" s="36">
        <f t="shared" si="5"/>
        <v>3.75</v>
      </c>
      <c r="F50" s="31">
        <f t="shared" si="4"/>
        <v>0</v>
      </c>
      <c r="G50" s="31"/>
      <c r="H50" s="31">
        <f t="shared" si="6"/>
        <v>0</v>
      </c>
      <c r="I50" s="106">
        <f t="shared" si="9"/>
        <v>45291</v>
      </c>
      <c r="J50" s="107">
        <f>IF(J49=0,IF(COUNTIF(K51:$K$53,"&lt;"&amp;0)&gt;0,0,1),2)</f>
        <v>2</v>
      </c>
      <c r="K50" s="108">
        <f t="shared" si="10"/>
        <v>0</v>
      </c>
      <c r="L50" s="109">
        <f>L49+M50</f>
        <v>3.75</v>
      </c>
      <c r="M50" s="110">
        <f t="shared" si="11"/>
        <v>0.25</v>
      </c>
    </row>
    <row r="51" spans="2:13" ht="15.75" hidden="1" thickBot="1" x14ac:dyDescent="0.3">
      <c r="B51" s="33">
        <f>DATEVALUE("1/1/"&amp;$G$20+4)</f>
        <v>45292</v>
      </c>
      <c r="C51" s="7">
        <v>0</v>
      </c>
      <c r="D51" s="7">
        <f t="shared" si="7"/>
        <v>0</v>
      </c>
      <c r="E51" s="36">
        <f t="shared" si="5"/>
        <v>3.75</v>
      </c>
      <c r="F51" s="31">
        <f t="shared" si="4"/>
        <v>0</v>
      </c>
      <c r="G51" s="31">
        <f t="shared" si="8"/>
        <v>0</v>
      </c>
      <c r="H51" s="31"/>
      <c r="I51" s="106">
        <f t="shared" si="9"/>
        <v>45292</v>
      </c>
      <c r="J51" s="107">
        <f>IF(J50=0,IF(COUNTIF(K52:$K$53,"&lt;"&amp;0)&gt;0,0,1),2)</f>
        <v>2</v>
      </c>
      <c r="K51" s="108">
        <f t="shared" si="10"/>
        <v>0</v>
      </c>
      <c r="L51" s="109">
        <f>E51</f>
        <v>3.75</v>
      </c>
      <c r="M51" s="110"/>
    </row>
    <row r="52" spans="2:13" ht="15.75" hidden="1" thickBot="1" x14ac:dyDescent="0.3">
      <c r="B52" s="33">
        <f>DATEVALUE("3/31/"&amp;$G$20+4)</f>
        <v>45382</v>
      </c>
      <c r="C52" s="7">
        <f>'NPV, PP, ROI Analysis'!$R$10:$R$10-R11+R12</f>
        <v>0</v>
      </c>
      <c r="D52" s="7">
        <f t="shared" si="7"/>
        <v>0</v>
      </c>
      <c r="E52" s="36">
        <f t="shared" si="5"/>
        <v>4</v>
      </c>
      <c r="F52" s="31">
        <f t="shared" si="4"/>
        <v>0</v>
      </c>
      <c r="G52" s="31"/>
      <c r="H52" s="31">
        <f t="shared" si="6"/>
        <v>0</v>
      </c>
      <c r="I52" s="106">
        <f t="shared" si="9"/>
        <v>45382</v>
      </c>
      <c r="J52" s="107">
        <f>IF(J51=0,IF(COUNTIF(K53:$K$53,"&lt;"&amp;0)&gt;0,0,1),2)</f>
        <v>2</v>
      </c>
      <c r="K52" s="108">
        <f t="shared" si="10"/>
        <v>0</v>
      </c>
      <c r="L52" s="109">
        <f>L51+M52</f>
        <v>4</v>
      </c>
      <c r="M52" s="110">
        <f t="shared" si="11"/>
        <v>0.25</v>
      </c>
    </row>
    <row r="53" spans="2:13" ht="15.75" hidden="1" thickBot="1" x14ac:dyDescent="0.3">
      <c r="B53" s="33">
        <f>DATEVALUE("4/1/"&amp;$G$20+4)</f>
        <v>45383</v>
      </c>
      <c r="D53" s="7">
        <v>-1</v>
      </c>
      <c r="E53" s="36" t="str">
        <f>"more than "&amp;E52</f>
        <v>more than 4</v>
      </c>
      <c r="F53" s="31">
        <f>SUM(F21:F52)</f>
        <v>0</v>
      </c>
      <c r="G53" s="31">
        <f>SUM(G21:G52)</f>
        <v>0</v>
      </c>
      <c r="H53" s="31">
        <f>SUM(H21:H52)</f>
        <v>0</v>
      </c>
      <c r="I53" s="111">
        <f t="shared" si="9"/>
        <v>45383</v>
      </c>
      <c r="J53" s="112">
        <f>IF(J52=0,IF(COUNTIF(K$53:$K54,"&lt;"&amp;0)&gt;0,0,1),2)</f>
        <v>2</v>
      </c>
      <c r="K53" s="113">
        <f t="shared" si="10"/>
        <v>0</v>
      </c>
      <c r="L53" s="114" t="str">
        <f>"more than "&amp;L51+0.25</f>
        <v>more than 4</v>
      </c>
      <c r="M53" s="115"/>
    </row>
    <row r="54" spans="2:13" ht="15.75" thickBot="1" x14ac:dyDescent="0.3">
      <c r="E54" s="31"/>
      <c r="F54" s="31"/>
      <c r="G54" s="31"/>
    </row>
    <row r="55" spans="2:13" ht="37.5" customHeight="1" thickBot="1" x14ac:dyDescent="0.35">
      <c r="B55" s="30" t="s">
        <v>89</v>
      </c>
      <c r="C55" s="165" t="str">
        <f ca="1">IF(G53&lt;&gt;0,XNPV(C61,INDIRECT(I20),INDIRECT(J20)),"no investment, check Budget Request Sheet")</f>
        <v>no investment, check Budget Request Sheet</v>
      </c>
      <c r="D55" s="166"/>
    </row>
    <row r="56" spans="2:13" ht="15.75" thickBot="1" x14ac:dyDescent="0.3">
      <c r="C56" s="73"/>
      <c r="D56" s="73"/>
    </row>
    <row r="57" spans="2:13" ht="42" customHeight="1" thickBot="1" x14ac:dyDescent="0.35">
      <c r="B57" s="30" t="s">
        <v>112</v>
      </c>
      <c r="C57" s="167" t="str">
        <f>IF(G53&lt;&gt;0,IFERROR(CONCATENATE(ROUND(VLOOKUP(1,$J$22:$L$53,3,TRUE),2)," years"),L53&amp;" years"),"no investment, check Budget Request Sheet")</f>
        <v>no investment, check Budget Request Sheet</v>
      </c>
      <c r="D57" s="168"/>
    </row>
    <row r="58" spans="2:13" ht="15.75" thickBot="1" x14ac:dyDescent="0.3">
      <c r="C58" s="73"/>
      <c r="D58" s="73"/>
    </row>
    <row r="59" spans="2:13" ht="39" customHeight="1" thickBot="1" x14ac:dyDescent="0.35">
      <c r="B59" s="30" t="s">
        <v>113</v>
      </c>
      <c r="C59" s="169" t="str">
        <f>IFERROR((H53/-G53)-1,"no investment, check Budget Request Sheet")</f>
        <v>no investment, check Budget Request Sheet</v>
      </c>
      <c r="D59" s="170"/>
      <c r="F59" s="99"/>
    </row>
    <row r="60" spans="2:13" ht="15.75" thickBot="1" x14ac:dyDescent="0.3"/>
    <row r="61" spans="2:13" ht="15.75" thickBot="1" x14ac:dyDescent="0.3">
      <c r="B61" s="30" t="s">
        <v>90</v>
      </c>
      <c r="C61" s="171">
        <v>0.01</v>
      </c>
      <c r="D61" s="172"/>
    </row>
    <row r="63" spans="2:13" ht="260.25" hidden="1" customHeight="1" x14ac:dyDescent="0.25">
      <c r="B63" s="164" t="s">
        <v>117</v>
      </c>
      <c r="C63" s="164"/>
      <c r="D63" s="164"/>
      <c r="E63" s="164"/>
      <c r="F63" s="164"/>
      <c r="G63" s="164"/>
      <c r="H63" s="164"/>
      <c r="I63" s="164"/>
      <c r="J63" s="164"/>
    </row>
  </sheetData>
  <sortState ref="B12:C43">
    <sortCondition ref="B12:B43"/>
  </sortState>
  <mergeCells count="12">
    <mergeCell ref="B2:S5"/>
    <mergeCell ref="G8:J8"/>
    <mergeCell ref="K8:N8"/>
    <mergeCell ref="B7:S7"/>
    <mergeCell ref="C16:S16"/>
    <mergeCell ref="O8:R8"/>
    <mergeCell ref="C8:F8"/>
    <mergeCell ref="B63:J63"/>
    <mergeCell ref="C55:D55"/>
    <mergeCell ref="C57:D57"/>
    <mergeCell ref="C59:D59"/>
    <mergeCell ref="C61:D61"/>
  </mergeCells>
  <conditionalFormatting sqref="C10:R14">
    <cfRule type="expression" dxfId="2" priority="1">
      <formula>C$19</formula>
    </cfRule>
  </conditionalFormatting>
  <dataValidations count="5">
    <dataValidation type="whole" allowBlank="1" showInputMessage="1" showErrorMessage="1" sqref="C13:R13">
      <formula1>0</formula1>
      <formula2>1E+39</formula2>
    </dataValidation>
    <dataValidation type="decimal" allowBlank="1" showInputMessage="1" showErrorMessage="1" sqref="C61">
      <formula1>0</formula1>
      <formula2>1</formula2>
    </dataValidation>
    <dataValidation type="decimal" allowBlank="1" showInputMessage="1" showErrorMessage="1" errorTitle="No Negative Values" error="Any negative &quot;increase in opperational expenses&quot; should be reflected as a positive &quot;reduction to expenses&quot;." sqref="C11:R11">
      <formula1>0</formula1>
      <formula2>1E+39</formula2>
    </dataValidation>
    <dataValidation type="decimal" allowBlank="1" showInputMessage="1" showErrorMessage="1" errorTitle="No Negative Values" error="Any negative &quot;reduction to expenses&quot; should be reflected as a positive &quot;increase in opperational expenses&quot;." sqref="C12:R12">
      <formula1>0</formula1>
      <formula2>1E+39</formula2>
    </dataValidation>
    <dataValidation type="decimal" allowBlank="1" showInputMessage="1" showErrorMessage="1" errorTitle="No Negative Values" error="Revenues should be positive values only." sqref="C10:R10">
      <formula1>0</formula1>
      <formula2>1E+39</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7" id="{E1BFBAB3-633B-4ADF-BD55-A2B49EC9EB9D}">
            <xm:f>IF('Budget Request'!$G$7&gt;DATEVALUE("September 30, "&amp;'Budget Request'!$Q$7),TRUE,FALSE)</xm:f>
            <x14:dxf>
              <fill>
                <patternFill patternType="lightDown">
                  <fgColor theme="1"/>
                </patternFill>
              </fill>
            </x14:dxf>
          </x14:cfRule>
          <xm:sqref>D10:D14</xm:sqref>
        </x14:conditionalFormatting>
        <x14:conditionalFormatting xmlns:xm="http://schemas.microsoft.com/office/excel/2006/main">
          <x14:cfRule type="expression" priority="68" id="{CD3CD38B-84F9-40FA-9461-A8EF701BB076}">
            <xm:f>IF('Budget Request'!$G$7&gt;DATEVALUE("December 31, "&amp;'Budget Request'!$Q$7),TRUE,FALSE)</xm:f>
            <x14:dxf>
              <fill>
                <patternFill patternType="lightDown">
                  <fgColor theme="1"/>
                </patternFill>
              </fill>
            </x14:dxf>
          </x14:cfRule>
          <xm:sqref>E10:E14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C19" sqref="C19"/>
    </sheetView>
  </sheetViews>
  <sheetFormatPr defaultRowHeight="15" x14ac:dyDescent="0.25"/>
  <sheetData>
    <row r="1" spans="1:3" x14ac:dyDescent="0.25">
      <c r="A1" t="s">
        <v>3</v>
      </c>
      <c r="B1" s="4" t="s">
        <v>2</v>
      </c>
      <c r="C1" s="4" t="s">
        <v>26</v>
      </c>
    </row>
    <row r="2" spans="1:3" ht="15.75" thickBot="1" x14ac:dyDescent="0.3">
      <c r="B2" s="1"/>
      <c r="C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Request</vt:lpstr>
      <vt:lpstr>Import Sheet</vt:lpstr>
      <vt:lpstr>Milestones</vt:lpstr>
      <vt:lpstr>NPV, PP, ROI Analysis</vt:lpstr>
      <vt:lpstr>Hidden List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Algonquin College</cp:lastModifiedBy>
  <dcterms:created xsi:type="dcterms:W3CDTF">2017-08-21T17:27:48Z</dcterms:created>
  <dcterms:modified xsi:type="dcterms:W3CDTF">2019-07-15T21:01:05Z</dcterms:modified>
</cp:coreProperties>
</file>